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finan\Downloads\"/>
    </mc:Choice>
  </mc:AlternateContent>
  <xr:revisionPtr revIDLastSave="0" documentId="13_ncr:1_{DA31950B-50FD-4763-93DD-314782B430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ICIO" sheetId="1" r:id="rId1"/>
    <sheet name="DADOS" sheetId="2" r:id="rId2"/>
    <sheet name="SAIDA" sheetId="3" r:id="rId3"/>
    <sheet name="CRONOGRAMA" sheetId="4" r:id="rId4"/>
    <sheet name="QUITACAO" sheetId="5" r:id="rId5"/>
    <sheet name="AJUDA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6" l="1"/>
  <c r="J4" i="4"/>
  <c r="F8" i="5"/>
  <c r="F9" i="5" s="1"/>
  <c r="F10" i="5" s="1"/>
  <c r="I4" i="5"/>
  <c r="F83" i="4"/>
  <c r="F56" i="4"/>
  <c r="F8" i="4"/>
  <c r="J6" i="4"/>
  <c r="M4" i="4"/>
  <c r="M3" i="4"/>
  <c r="F38" i="4" s="1"/>
  <c r="C12" i="3"/>
  <c r="C11" i="3"/>
  <c r="C10" i="3"/>
  <c r="C9" i="3"/>
  <c r="C8" i="3"/>
  <c r="C7" i="3"/>
  <c r="H4" i="3"/>
  <c r="F10" i="2"/>
  <c r="F9" i="2"/>
  <c r="F7" i="2"/>
  <c r="F7" i="5" s="1"/>
  <c r="F22" i="4" l="1"/>
  <c r="F127" i="4"/>
  <c r="F10" i="4"/>
  <c r="F26" i="4"/>
  <c r="F42" i="4"/>
  <c r="F59" i="4"/>
  <c r="F91" i="4"/>
  <c r="F143" i="4"/>
  <c r="F185" i="4"/>
  <c r="B7" i="4"/>
  <c r="G7" i="4" s="1"/>
  <c r="F14" i="4"/>
  <c r="F30" i="4"/>
  <c r="F43" i="4"/>
  <c r="F67" i="4"/>
  <c r="F99" i="4"/>
  <c r="F7" i="4"/>
  <c r="F18" i="4"/>
  <c r="F34" i="4"/>
  <c r="F53" i="4"/>
  <c r="F75" i="4"/>
  <c r="F111" i="4"/>
  <c r="E45" i="5"/>
  <c r="E28" i="5"/>
  <c r="F28" i="5" s="1"/>
  <c r="I28" i="5" s="1"/>
  <c r="M5" i="4"/>
  <c r="F11" i="4"/>
  <c r="F15" i="4"/>
  <c r="F19" i="4"/>
  <c r="F23" i="4"/>
  <c r="F27" i="4"/>
  <c r="F31" i="4"/>
  <c r="F35" i="4"/>
  <c r="F39" i="4"/>
  <c r="F49" i="4"/>
  <c r="F52" i="4"/>
  <c r="F55" i="4"/>
  <c r="F61" i="4"/>
  <c r="F69" i="4"/>
  <c r="F77" i="4"/>
  <c r="F85" i="4"/>
  <c r="F93" i="4"/>
  <c r="F101" i="4"/>
  <c r="F115" i="4"/>
  <c r="F131" i="4"/>
  <c r="F147" i="4"/>
  <c r="F161" i="4"/>
  <c r="F7" i="3"/>
  <c r="M2" i="4"/>
  <c r="F12" i="4"/>
  <c r="F16" i="4"/>
  <c r="F20" i="4"/>
  <c r="F24" i="4"/>
  <c r="F28" i="4"/>
  <c r="F32" i="4"/>
  <c r="F36" i="4"/>
  <c r="F40" i="4"/>
  <c r="F45" i="4"/>
  <c r="F48" i="4"/>
  <c r="F51" i="4"/>
  <c r="F63" i="4"/>
  <c r="F71" i="4"/>
  <c r="F79" i="4"/>
  <c r="F87" i="4"/>
  <c r="F95" i="4"/>
  <c r="F103" i="4"/>
  <c r="F119" i="4"/>
  <c r="F135" i="4"/>
  <c r="F151" i="4"/>
  <c r="F169" i="4"/>
  <c r="F218" i="4"/>
  <c r="F231" i="4"/>
  <c r="F8" i="2"/>
  <c r="F366" i="4"/>
  <c r="F362" i="4"/>
  <c r="F358" i="4"/>
  <c r="F354" i="4"/>
  <c r="F350" i="4"/>
  <c r="F346" i="4"/>
  <c r="F342" i="4"/>
  <c r="F338" i="4"/>
  <c r="F334" i="4"/>
  <c r="F330" i="4"/>
  <c r="F326" i="4"/>
  <c r="F365" i="4"/>
  <c r="F361" i="4"/>
  <c r="F357" i="4"/>
  <c r="F353" i="4"/>
  <c r="F349" i="4"/>
  <c r="F345" i="4"/>
  <c r="F341" i="4"/>
  <c r="F337" i="4"/>
  <c r="F333" i="4"/>
  <c r="F329" i="4"/>
  <c r="F364" i="4"/>
  <c r="F356" i="4"/>
  <c r="F348" i="4"/>
  <c r="F340" i="4"/>
  <c r="F332" i="4"/>
  <c r="F324" i="4"/>
  <c r="F320" i="4"/>
  <c r="F316" i="4"/>
  <c r="F312" i="4"/>
  <c r="F308" i="4"/>
  <c r="F304" i="4"/>
  <c r="F300" i="4"/>
  <c r="F296" i="4"/>
  <c r="F292" i="4"/>
  <c r="F288" i="4"/>
  <c r="F355" i="4"/>
  <c r="F336" i="4"/>
  <c r="F335" i="4"/>
  <c r="F325" i="4"/>
  <c r="F322" i="4"/>
  <c r="F319" i="4"/>
  <c r="F309" i="4"/>
  <c r="F306" i="4"/>
  <c r="F303" i="4"/>
  <c r="F293" i="4"/>
  <c r="F290" i="4"/>
  <c r="F285" i="4"/>
  <c r="F281" i="4"/>
  <c r="F277" i="4"/>
  <c r="F273" i="4"/>
  <c r="F269" i="4"/>
  <c r="F265" i="4"/>
  <c r="F261" i="4"/>
  <c r="F257" i="4"/>
  <c r="F253" i="4"/>
  <c r="F249" i="4"/>
  <c r="F245" i="4"/>
  <c r="F241" i="4"/>
  <c r="F237" i="4"/>
  <c r="F233" i="4"/>
  <c r="F229" i="4"/>
  <c r="F225" i="4"/>
  <c r="F221" i="4"/>
  <c r="F217" i="4"/>
  <c r="F213" i="4"/>
  <c r="F363" i="4"/>
  <c r="F344" i="4"/>
  <c r="F343" i="4"/>
  <c r="F331" i="4"/>
  <c r="F323" i="4"/>
  <c r="F313" i="4"/>
  <c r="F310" i="4"/>
  <c r="F307" i="4"/>
  <c r="F297" i="4"/>
  <c r="F294" i="4"/>
  <c r="F291" i="4"/>
  <c r="F284" i="4"/>
  <c r="F280" i="4"/>
  <c r="F276" i="4"/>
  <c r="F272" i="4"/>
  <c r="F268" i="4"/>
  <c r="F264" i="4"/>
  <c r="F260" i="4"/>
  <c r="F256" i="4"/>
  <c r="F252" i="4"/>
  <c r="F248" i="4"/>
  <c r="F244" i="4"/>
  <c r="F240" i="4"/>
  <c r="F236" i="4"/>
  <c r="F232" i="4"/>
  <c r="F228" i="4"/>
  <c r="F224" i="4"/>
  <c r="F352" i="4"/>
  <c r="F351" i="4"/>
  <c r="F339" i="4"/>
  <c r="F317" i="4"/>
  <c r="F314" i="4"/>
  <c r="F311" i="4"/>
  <c r="F318" i="4"/>
  <c r="F302" i="4"/>
  <c r="F289" i="4"/>
  <c r="F286" i="4"/>
  <c r="F278" i="4"/>
  <c r="F270" i="4"/>
  <c r="F262" i="4"/>
  <c r="F254" i="4"/>
  <c r="F246" i="4"/>
  <c r="F238" i="4"/>
  <c r="F230" i="4"/>
  <c r="F222" i="4"/>
  <c r="F219" i="4"/>
  <c r="F216" i="4"/>
  <c r="F211" i="4"/>
  <c r="F207" i="4"/>
  <c r="F203" i="4"/>
  <c r="F199" i="4"/>
  <c r="F195" i="4"/>
  <c r="F191" i="4"/>
  <c r="F187" i="4"/>
  <c r="F183" i="4"/>
  <c r="F179" i="4"/>
  <c r="F175" i="4"/>
  <c r="F171" i="4"/>
  <c r="F167" i="4"/>
  <c r="F163" i="4"/>
  <c r="F159" i="4"/>
  <c r="F347" i="4"/>
  <c r="F328" i="4"/>
  <c r="F315" i="4"/>
  <c r="F298" i="4"/>
  <c r="F283" i="4"/>
  <c r="F275" i="4"/>
  <c r="F267" i="4"/>
  <c r="F259" i="4"/>
  <c r="F251" i="4"/>
  <c r="F243" i="4"/>
  <c r="F235" i="4"/>
  <c r="F227" i="4"/>
  <c r="F220" i="4"/>
  <c r="F210" i="4"/>
  <c r="F206" i="4"/>
  <c r="F202" i="4"/>
  <c r="F198" i="4"/>
  <c r="F194" i="4"/>
  <c r="F190" i="4"/>
  <c r="F186" i="4"/>
  <c r="F182" i="4"/>
  <c r="F178" i="4"/>
  <c r="F174" i="4"/>
  <c r="F170" i="4"/>
  <c r="F166" i="4"/>
  <c r="F162" i="4"/>
  <c r="F158" i="4"/>
  <c r="F360" i="4"/>
  <c r="F327" i="4"/>
  <c r="F305" i="4"/>
  <c r="F299" i="4"/>
  <c r="F282" i="4"/>
  <c r="F274" i="4"/>
  <c r="F266" i="4"/>
  <c r="F258" i="4"/>
  <c r="F250" i="4"/>
  <c r="F242" i="4"/>
  <c r="F234" i="4"/>
  <c r="F226" i="4"/>
  <c r="F214" i="4"/>
  <c r="F209" i="4"/>
  <c r="F205" i="4"/>
  <c r="F201" i="4"/>
  <c r="F197" i="4"/>
  <c r="F193" i="4"/>
  <c r="F359" i="4"/>
  <c r="F301" i="4"/>
  <c r="F287" i="4"/>
  <c r="F255" i="4"/>
  <c r="F223" i="4"/>
  <c r="F215" i="4"/>
  <c r="F200" i="4"/>
  <c r="F192" i="4"/>
  <c r="F184" i="4"/>
  <c r="F176" i="4"/>
  <c r="F168" i="4"/>
  <c r="F160" i="4"/>
  <c r="F154" i="4"/>
  <c r="F150" i="4"/>
  <c r="F146" i="4"/>
  <c r="F142" i="4"/>
  <c r="F138" i="4"/>
  <c r="F134" i="4"/>
  <c r="F130" i="4"/>
  <c r="F126" i="4"/>
  <c r="F122" i="4"/>
  <c r="F118" i="4"/>
  <c r="F114" i="4"/>
  <c r="F110" i="4"/>
  <c r="F106" i="4"/>
  <c r="F102" i="4"/>
  <c r="F98" i="4"/>
  <c r="F94" i="4"/>
  <c r="F90" i="4"/>
  <c r="F86" i="4"/>
  <c r="F82" i="4"/>
  <c r="F78" i="4"/>
  <c r="F74" i="4"/>
  <c r="F70" i="4"/>
  <c r="F66" i="4"/>
  <c r="F62" i="4"/>
  <c r="F58" i="4"/>
  <c r="F54" i="4"/>
  <c r="F50" i="4"/>
  <c r="F46" i="4"/>
  <c r="F321" i="4"/>
  <c r="F295" i="4"/>
  <c r="F279" i="4"/>
  <c r="F247" i="4"/>
  <c r="F212" i="4"/>
  <c r="F196" i="4"/>
  <c r="F189" i="4"/>
  <c r="F181" i="4"/>
  <c r="F173" i="4"/>
  <c r="F165" i="4"/>
  <c r="F157" i="4"/>
  <c r="F153" i="4"/>
  <c r="F149" i="4"/>
  <c r="F145" i="4"/>
  <c r="F141" i="4"/>
  <c r="F137" i="4"/>
  <c r="F133" i="4"/>
  <c r="F129" i="4"/>
  <c r="F125" i="4"/>
  <c r="F121" i="4"/>
  <c r="F117" i="4"/>
  <c r="F113" i="4"/>
  <c r="F109" i="4"/>
  <c r="F105" i="4"/>
  <c r="F271" i="4"/>
  <c r="F239" i="4"/>
  <c r="F208" i="4"/>
  <c r="F188" i="4"/>
  <c r="F180" i="4"/>
  <c r="F172" i="4"/>
  <c r="F164" i="4"/>
  <c r="F156" i="4"/>
  <c r="F152" i="4"/>
  <c r="F148" i="4"/>
  <c r="F144" i="4"/>
  <c r="F140" i="4"/>
  <c r="F136" i="4"/>
  <c r="F132" i="4"/>
  <c r="F128" i="4"/>
  <c r="F124" i="4"/>
  <c r="F120" i="4"/>
  <c r="F116" i="4"/>
  <c r="F112" i="4"/>
  <c r="F108" i="4"/>
  <c r="F104" i="4"/>
  <c r="F100" i="4"/>
  <c r="F96" i="4"/>
  <c r="F92" i="4"/>
  <c r="F88" i="4"/>
  <c r="F84" i="4"/>
  <c r="F80" i="4"/>
  <c r="F76" i="4"/>
  <c r="F72" i="4"/>
  <c r="F68" i="4"/>
  <c r="F64" i="4"/>
  <c r="F9" i="4"/>
  <c r="F13" i="4"/>
  <c r="F17" i="4"/>
  <c r="F21" i="4"/>
  <c r="F25" i="4"/>
  <c r="F29" i="4"/>
  <c r="F33" i="4"/>
  <c r="F37" i="4"/>
  <c r="F41" i="4"/>
  <c r="F44" i="4"/>
  <c r="F47" i="4"/>
  <c r="F57" i="4"/>
  <c r="F60" i="4"/>
  <c r="F65" i="4"/>
  <c r="F73" i="4"/>
  <c r="F81" i="4"/>
  <c r="F89" i="4"/>
  <c r="F97" i="4"/>
  <c r="F107" i="4"/>
  <c r="F123" i="4"/>
  <c r="F139" i="4"/>
  <c r="F155" i="4"/>
  <c r="F177" i="4"/>
  <c r="F204" i="4"/>
  <c r="F263" i="4"/>
  <c r="F45" i="5"/>
  <c r="I45" i="5" s="1"/>
  <c r="E135" i="5"/>
  <c r="E131" i="5"/>
  <c r="E127" i="5"/>
  <c r="E123" i="5"/>
  <c r="E119" i="5"/>
  <c r="E115" i="5"/>
  <c r="E111" i="5"/>
  <c r="E107" i="5"/>
  <c r="E103" i="5"/>
  <c r="E99" i="5"/>
  <c r="E95" i="5"/>
  <c r="E91" i="5"/>
  <c r="E87" i="5"/>
  <c r="E83" i="5"/>
  <c r="E79" i="5"/>
  <c r="E75" i="5"/>
  <c r="E71" i="5"/>
  <c r="E126" i="5"/>
  <c r="E125" i="5"/>
  <c r="E124" i="5"/>
  <c r="E110" i="5"/>
  <c r="E109" i="5"/>
  <c r="E108" i="5"/>
  <c r="E94" i="5"/>
  <c r="E93" i="5"/>
  <c r="E92" i="5"/>
  <c r="E78" i="5"/>
  <c r="E77" i="5"/>
  <c r="E76" i="5"/>
  <c r="E66" i="5"/>
  <c r="E62" i="5"/>
  <c r="E58" i="5"/>
  <c r="E54" i="5"/>
  <c r="E50" i="5"/>
  <c r="E46" i="5"/>
  <c r="E42" i="5"/>
  <c r="E38" i="5"/>
  <c r="E34" i="5"/>
  <c r="E30" i="5"/>
  <c r="E26" i="5"/>
  <c r="E22" i="5"/>
  <c r="E18" i="5"/>
  <c r="E130" i="5"/>
  <c r="E129" i="5"/>
  <c r="E128" i="5"/>
  <c r="E114" i="5"/>
  <c r="E113" i="5"/>
  <c r="E112" i="5"/>
  <c r="E98" i="5"/>
  <c r="E97" i="5"/>
  <c r="E96" i="5"/>
  <c r="E82" i="5"/>
  <c r="E81" i="5"/>
  <c r="E80" i="5"/>
  <c r="E65" i="5"/>
  <c r="E61" i="5"/>
  <c r="E57" i="5"/>
  <c r="E53" i="5"/>
  <c r="E133" i="5"/>
  <c r="E118" i="5"/>
  <c r="E116" i="5"/>
  <c r="E101" i="5"/>
  <c r="E86" i="5"/>
  <c r="E84" i="5"/>
  <c r="E69" i="5"/>
  <c r="E64" i="5"/>
  <c r="E56" i="5"/>
  <c r="E49" i="5"/>
  <c r="E48" i="5"/>
  <c r="E47" i="5"/>
  <c r="E33" i="5"/>
  <c r="E32" i="5"/>
  <c r="E31" i="5"/>
  <c r="E17" i="5"/>
  <c r="E16" i="5"/>
  <c r="E122" i="5"/>
  <c r="E120" i="5"/>
  <c r="E105" i="5"/>
  <c r="E90" i="5"/>
  <c r="E88" i="5"/>
  <c r="E73" i="5"/>
  <c r="E67" i="5"/>
  <c r="E59" i="5"/>
  <c r="E51" i="5"/>
  <c r="E37" i="5"/>
  <c r="E36" i="5"/>
  <c r="E35" i="5"/>
  <c r="E21" i="5"/>
  <c r="E20" i="5"/>
  <c r="E19" i="5"/>
  <c r="E134" i="5"/>
  <c r="E117" i="5"/>
  <c r="E100" i="5"/>
  <c r="E70" i="5"/>
  <c r="E60" i="5"/>
  <c r="E40" i="5"/>
  <c r="E25" i="5"/>
  <c r="E23" i="5"/>
  <c r="E121" i="5"/>
  <c r="E104" i="5"/>
  <c r="E74" i="5"/>
  <c r="E63" i="5"/>
  <c r="E44" i="5"/>
  <c r="E29" i="5"/>
  <c r="E27" i="5"/>
  <c r="E132" i="5"/>
  <c r="E52" i="5"/>
  <c r="E39" i="5"/>
  <c r="E106" i="5"/>
  <c r="E89" i="5"/>
  <c r="E72" i="5"/>
  <c r="E43" i="5"/>
  <c r="E102" i="5"/>
  <c r="E85" i="5"/>
  <c r="E68" i="5"/>
  <c r="E41" i="5"/>
  <c r="E24" i="5"/>
  <c r="E55" i="5"/>
  <c r="D7" i="4" l="1"/>
  <c r="M6" i="4"/>
  <c r="M7" i="4"/>
  <c r="F68" i="5"/>
  <c r="I68" i="5" s="1"/>
  <c r="F72" i="5"/>
  <c r="I72" i="5" s="1"/>
  <c r="F52" i="5"/>
  <c r="I52" i="5" s="1"/>
  <c r="F44" i="5"/>
  <c r="I44" i="5" s="1"/>
  <c r="G121" i="5"/>
  <c r="J121" i="5"/>
  <c r="I121" i="5"/>
  <c r="F121" i="5"/>
  <c r="F60" i="5"/>
  <c r="I60" i="5" s="1"/>
  <c r="F134" i="5"/>
  <c r="I134" i="5"/>
  <c r="G134" i="5"/>
  <c r="J134" i="5"/>
  <c r="F35" i="5"/>
  <c r="I35" i="5" s="1"/>
  <c r="I59" i="5"/>
  <c r="F59" i="5"/>
  <c r="F90" i="5"/>
  <c r="J90" i="5"/>
  <c r="I90" i="5"/>
  <c r="G90" i="5"/>
  <c r="F16" i="5"/>
  <c r="I16" i="5" s="1"/>
  <c r="F33" i="5"/>
  <c r="I33" i="5" s="1"/>
  <c r="F56" i="5"/>
  <c r="I56" i="5" s="1"/>
  <c r="F86" i="5"/>
  <c r="I86" i="5"/>
  <c r="G86" i="5"/>
  <c r="J86" i="5"/>
  <c r="G133" i="5"/>
  <c r="I133" i="5"/>
  <c r="F133" i="5"/>
  <c r="J133" i="5"/>
  <c r="F65" i="5"/>
  <c r="I65" i="5"/>
  <c r="I96" i="5"/>
  <c r="F96" i="5"/>
  <c r="J96" i="5"/>
  <c r="G96" i="5"/>
  <c r="G113" i="5"/>
  <c r="F113" i="5"/>
  <c r="J113" i="5"/>
  <c r="I113" i="5"/>
  <c r="F130" i="5"/>
  <c r="G130" i="5"/>
  <c r="J130" i="5"/>
  <c r="I130" i="5"/>
  <c r="F30" i="5"/>
  <c r="I30" i="5" s="1"/>
  <c r="F46" i="5"/>
  <c r="I46" i="5" s="1"/>
  <c r="F62" i="5"/>
  <c r="I62" i="5" s="1"/>
  <c r="F78" i="5"/>
  <c r="J78" i="5"/>
  <c r="I78" i="5"/>
  <c r="G78" i="5"/>
  <c r="I108" i="5"/>
  <c r="J108" i="5"/>
  <c r="G108" i="5"/>
  <c r="F108" i="5"/>
  <c r="G125" i="5"/>
  <c r="J125" i="5"/>
  <c r="I125" i="5"/>
  <c r="F125" i="5"/>
  <c r="J79" i="5"/>
  <c r="F79" i="5"/>
  <c r="I79" i="5"/>
  <c r="G79" i="5"/>
  <c r="J95" i="5"/>
  <c r="F95" i="5"/>
  <c r="I95" i="5"/>
  <c r="G95" i="5"/>
  <c r="J111" i="5"/>
  <c r="F111" i="5"/>
  <c r="I111" i="5"/>
  <c r="G111" i="5"/>
  <c r="J127" i="5"/>
  <c r="F127" i="5"/>
  <c r="I127" i="5"/>
  <c r="G127" i="5"/>
  <c r="F43" i="5"/>
  <c r="I43" i="5" s="1"/>
  <c r="F29" i="5"/>
  <c r="I29" i="5"/>
  <c r="F40" i="5"/>
  <c r="I40" i="5" s="1"/>
  <c r="F21" i="5"/>
  <c r="I21" i="5" s="1"/>
  <c r="I88" i="5"/>
  <c r="J88" i="5"/>
  <c r="G88" i="5"/>
  <c r="F88" i="5"/>
  <c r="F32" i="5"/>
  <c r="I32" i="5" s="1"/>
  <c r="F49" i="5"/>
  <c r="I49" i="5"/>
  <c r="F118" i="5"/>
  <c r="I118" i="5"/>
  <c r="G118" i="5"/>
  <c r="J118" i="5"/>
  <c r="F82" i="5"/>
  <c r="G82" i="5"/>
  <c r="J82" i="5"/>
  <c r="I82" i="5"/>
  <c r="G129" i="5"/>
  <c r="F129" i="5"/>
  <c r="J129" i="5"/>
  <c r="I129" i="5"/>
  <c r="F42" i="5"/>
  <c r="I42" i="5" s="1"/>
  <c r="G77" i="5"/>
  <c r="J77" i="5"/>
  <c r="I77" i="5"/>
  <c r="F77" i="5"/>
  <c r="I124" i="5"/>
  <c r="J124" i="5"/>
  <c r="G124" i="5"/>
  <c r="F124" i="5"/>
  <c r="F55" i="5"/>
  <c r="I55" i="5" s="1"/>
  <c r="G85" i="5"/>
  <c r="I85" i="5"/>
  <c r="F85" i="5"/>
  <c r="J85" i="5"/>
  <c r="G89" i="5"/>
  <c r="J89" i="5"/>
  <c r="I89" i="5"/>
  <c r="F89" i="5"/>
  <c r="I132" i="5"/>
  <c r="G132" i="5"/>
  <c r="F132" i="5"/>
  <c r="J132" i="5"/>
  <c r="F63" i="5"/>
  <c r="I63" i="5" s="1"/>
  <c r="F23" i="5"/>
  <c r="I23" i="5" s="1"/>
  <c r="F70" i="5"/>
  <c r="I70" i="5" s="1"/>
  <c r="F19" i="5"/>
  <c r="I19" i="5" s="1"/>
  <c r="F36" i="5"/>
  <c r="I36" i="5"/>
  <c r="F67" i="5"/>
  <c r="I67" i="5" s="1"/>
  <c r="G105" i="5"/>
  <c r="J105" i="5"/>
  <c r="I105" i="5"/>
  <c r="F105" i="5"/>
  <c r="F17" i="5"/>
  <c r="I17" i="5" s="1"/>
  <c r="F47" i="5"/>
  <c r="I47" i="5" s="1"/>
  <c r="F64" i="5"/>
  <c r="I64" i="5" s="1"/>
  <c r="G101" i="5"/>
  <c r="I101" i="5"/>
  <c r="F101" i="5"/>
  <c r="J101" i="5"/>
  <c r="F53" i="5"/>
  <c r="I53" i="5"/>
  <c r="I80" i="5"/>
  <c r="F80" i="5"/>
  <c r="J80" i="5"/>
  <c r="G80" i="5"/>
  <c r="G97" i="5"/>
  <c r="F97" i="5"/>
  <c r="J97" i="5"/>
  <c r="I97" i="5"/>
  <c r="F114" i="5"/>
  <c r="G114" i="5"/>
  <c r="J114" i="5"/>
  <c r="I114" i="5"/>
  <c r="F18" i="5"/>
  <c r="I18" i="5"/>
  <c r="F34" i="5"/>
  <c r="I34" i="5" s="1"/>
  <c r="F50" i="5"/>
  <c r="I50" i="5" s="1"/>
  <c r="F66" i="5"/>
  <c r="I66" i="5" s="1"/>
  <c r="I92" i="5"/>
  <c r="J92" i="5"/>
  <c r="G92" i="5"/>
  <c r="F92" i="5"/>
  <c r="G109" i="5"/>
  <c r="J109" i="5"/>
  <c r="I109" i="5"/>
  <c r="F109" i="5"/>
  <c r="F126" i="5"/>
  <c r="J126" i="5"/>
  <c r="I126" i="5"/>
  <c r="G126" i="5"/>
  <c r="J83" i="5"/>
  <c r="G83" i="5"/>
  <c r="F83" i="5"/>
  <c r="I83" i="5"/>
  <c r="J99" i="5"/>
  <c r="G99" i="5"/>
  <c r="F99" i="5"/>
  <c r="I99" i="5"/>
  <c r="J115" i="5"/>
  <c r="G115" i="5"/>
  <c r="F115" i="5"/>
  <c r="I115" i="5"/>
  <c r="J131" i="5"/>
  <c r="G131" i="5"/>
  <c r="F131" i="5"/>
  <c r="I131" i="5"/>
  <c r="F41" i="5"/>
  <c r="I41" i="5" s="1"/>
  <c r="F39" i="5"/>
  <c r="I39" i="5" s="1"/>
  <c r="I104" i="5"/>
  <c r="J104" i="5"/>
  <c r="G104" i="5"/>
  <c r="F104" i="5"/>
  <c r="G117" i="5"/>
  <c r="I117" i="5"/>
  <c r="F117" i="5"/>
  <c r="J117" i="5"/>
  <c r="F51" i="5"/>
  <c r="I51" i="5" s="1"/>
  <c r="F122" i="5"/>
  <c r="J122" i="5"/>
  <c r="I122" i="5"/>
  <c r="G122" i="5"/>
  <c r="I84" i="5"/>
  <c r="G84" i="5"/>
  <c r="F84" i="5"/>
  <c r="J84" i="5"/>
  <c r="F61" i="5"/>
  <c r="I61" i="5" s="1"/>
  <c r="I112" i="5"/>
  <c r="F112" i="5"/>
  <c r="J112" i="5"/>
  <c r="G112" i="5"/>
  <c r="F26" i="5"/>
  <c r="I26" i="5" s="1"/>
  <c r="F58" i="5"/>
  <c r="I58" i="5" s="1"/>
  <c r="F94" i="5"/>
  <c r="J94" i="5"/>
  <c r="I94" i="5"/>
  <c r="G94" i="5"/>
  <c r="F75" i="5"/>
  <c r="I75" i="5" s="1"/>
  <c r="J91" i="5"/>
  <c r="I91" i="5"/>
  <c r="G91" i="5"/>
  <c r="F91" i="5"/>
  <c r="J107" i="5"/>
  <c r="I107" i="5"/>
  <c r="G107" i="5"/>
  <c r="F107" i="5"/>
  <c r="J123" i="5"/>
  <c r="I123" i="5"/>
  <c r="G123" i="5"/>
  <c r="F123" i="5"/>
  <c r="F24" i="5"/>
  <c r="I24" i="5" s="1"/>
  <c r="F102" i="5"/>
  <c r="I102" i="5"/>
  <c r="G102" i="5"/>
  <c r="J102" i="5"/>
  <c r="F106" i="5"/>
  <c r="J106" i="5"/>
  <c r="I106" i="5"/>
  <c r="G106" i="5"/>
  <c r="F27" i="5"/>
  <c r="I27" i="5" s="1"/>
  <c r="F74" i="5"/>
  <c r="I74" i="5" s="1"/>
  <c r="F25" i="5"/>
  <c r="I25" i="5" s="1"/>
  <c r="I100" i="5"/>
  <c r="G100" i="5"/>
  <c r="F100" i="5"/>
  <c r="J100" i="5"/>
  <c r="F20" i="5"/>
  <c r="I20" i="5" s="1"/>
  <c r="F37" i="5"/>
  <c r="I37" i="5" s="1"/>
  <c r="F73" i="5"/>
  <c r="I73" i="5" s="1"/>
  <c r="I120" i="5"/>
  <c r="J120" i="5"/>
  <c r="G120" i="5"/>
  <c r="F120" i="5"/>
  <c r="F31" i="5"/>
  <c r="I31" i="5" s="1"/>
  <c r="I48" i="5"/>
  <c r="F48" i="5"/>
  <c r="F69" i="5"/>
  <c r="I69" i="5" s="1"/>
  <c r="I116" i="5"/>
  <c r="G116" i="5"/>
  <c r="F116" i="5"/>
  <c r="J116" i="5"/>
  <c r="F57" i="5"/>
  <c r="I57" i="5" s="1"/>
  <c r="G81" i="5"/>
  <c r="F81" i="5"/>
  <c r="J81" i="5"/>
  <c r="I81" i="5"/>
  <c r="F98" i="5"/>
  <c r="G98" i="5"/>
  <c r="J98" i="5"/>
  <c r="I98" i="5"/>
  <c r="I128" i="5"/>
  <c r="F128" i="5"/>
  <c r="J128" i="5"/>
  <c r="G128" i="5"/>
  <c r="F22" i="5"/>
  <c r="I22" i="5" s="1"/>
  <c r="F38" i="5"/>
  <c r="I38" i="5" s="1"/>
  <c r="F54" i="5"/>
  <c r="I54" i="5" s="1"/>
  <c r="I76" i="5"/>
  <c r="J76" i="5"/>
  <c r="G76" i="5"/>
  <c r="F76" i="5"/>
  <c r="G93" i="5"/>
  <c r="J93" i="5"/>
  <c r="I93" i="5"/>
  <c r="F93" i="5"/>
  <c r="F110" i="5"/>
  <c r="J110" i="5"/>
  <c r="I110" i="5"/>
  <c r="G110" i="5"/>
  <c r="F71" i="5"/>
  <c r="I71" i="5" s="1"/>
  <c r="J87" i="5"/>
  <c r="I87" i="5"/>
  <c r="G87" i="5"/>
  <c r="F87" i="5"/>
  <c r="J103" i="5"/>
  <c r="I103" i="5"/>
  <c r="G103" i="5"/>
  <c r="F103" i="5"/>
  <c r="J119" i="5"/>
  <c r="I119" i="5"/>
  <c r="G119" i="5"/>
  <c r="F119" i="5"/>
  <c r="J135" i="5"/>
  <c r="I135" i="5"/>
  <c r="G135" i="5"/>
  <c r="F135" i="5"/>
  <c r="E7" i="4" l="1"/>
  <c r="H7" i="4" l="1"/>
  <c r="C7" i="4"/>
  <c r="I7" i="4" s="1"/>
  <c r="B8" i="4" s="1"/>
  <c r="D8" i="4" l="1"/>
  <c r="E8" i="4" s="1"/>
  <c r="G8" i="4"/>
  <c r="J7" i="4"/>
  <c r="F8" i="3"/>
  <c r="J19" i="1" s="1"/>
  <c r="H8" i="4" l="1"/>
  <c r="J8" i="4" s="1"/>
  <c r="C8" i="4"/>
  <c r="I8" i="4" s="1"/>
  <c r="B9" i="4" s="1"/>
  <c r="G9" i="4" l="1"/>
  <c r="D9" i="4"/>
  <c r="E9" i="4" s="1"/>
  <c r="H9" i="4" l="1"/>
  <c r="J9" i="4" s="1"/>
  <c r="C9" i="4"/>
  <c r="I9" i="4" s="1"/>
  <c r="B10" i="4" s="1"/>
  <c r="D10" i="4" l="1"/>
  <c r="E10" i="4" s="1"/>
  <c r="G10" i="4"/>
  <c r="H10" i="4" l="1"/>
  <c r="J10" i="4" s="1"/>
  <c r="C10" i="4"/>
  <c r="I10" i="4" s="1"/>
  <c r="B11" i="4" s="1"/>
  <c r="G11" i="4" l="1"/>
  <c r="D11" i="4"/>
  <c r="E11" i="4" l="1"/>
  <c r="C11" i="4" s="1"/>
  <c r="I11" i="4" s="1"/>
  <c r="B12" i="4" s="1"/>
  <c r="H11" i="4" l="1"/>
  <c r="J11" i="4" s="1"/>
  <c r="G12" i="4"/>
  <c r="D12" i="4"/>
  <c r="E12" i="4"/>
  <c r="H12" i="4" l="1"/>
  <c r="J12" i="4" s="1"/>
  <c r="C12" i="4"/>
  <c r="I12" i="4" s="1"/>
  <c r="B13" i="4" s="1"/>
  <c r="G13" i="4" l="1"/>
  <c r="D13" i="4"/>
  <c r="E13" i="4" l="1"/>
  <c r="C13" i="4" s="1"/>
  <c r="I13" i="4" s="1"/>
  <c r="B14" i="4" s="1"/>
  <c r="D14" i="4" s="1"/>
  <c r="H13" i="4" l="1"/>
  <c r="J13" i="4" s="1"/>
  <c r="E14" i="4"/>
  <c r="C14" i="4" s="1"/>
  <c r="I14" i="4" s="1"/>
  <c r="B15" i="4" s="1"/>
  <c r="G14" i="4"/>
  <c r="H14" i="4" l="1"/>
  <c r="J14" i="4" s="1"/>
  <c r="D15" i="4"/>
  <c r="E15" i="4" s="1"/>
  <c r="G15" i="4"/>
  <c r="H15" i="4" l="1"/>
  <c r="J15" i="4" s="1"/>
  <c r="C15" i="4"/>
  <c r="I15" i="4" s="1"/>
  <c r="B16" i="4" s="1"/>
  <c r="G16" i="4" l="1"/>
  <c r="D16" i="4"/>
  <c r="E16" i="4" s="1"/>
  <c r="C16" i="4" s="1"/>
  <c r="I16" i="4" s="1"/>
  <c r="B17" i="4" s="1"/>
  <c r="G17" i="4" s="1"/>
  <c r="D17" i="4" l="1"/>
  <c r="E17" i="4" s="1"/>
  <c r="H17" i="4" s="1"/>
  <c r="J17" i="4" s="1"/>
  <c r="H16" i="4"/>
  <c r="J16" i="4" s="1"/>
  <c r="C17" i="4" l="1"/>
  <c r="I17" i="4" s="1"/>
  <c r="B18" i="4" s="1"/>
  <c r="G18" i="4" s="1"/>
  <c r="D18" i="4" l="1"/>
  <c r="E18" i="4" s="1"/>
  <c r="H18" i="4" l="1"/>
  <c r="J18" i="4" s="1"/>
  <c r="C18" i="4"/>
  <c r="I18" i="4" s="1"/>
  <c r="B19" i="4" s="1"/>
  <c r="D19" i="4" l="1"/>
  <c r="G19" i="4"/>
  <c r="E19" i="4" l="1"/>
  <c r="H19" i="4" s="1"/>
  <c r="C19" i="4" l="1"/>
  <c r="I19" i="4" s="1"/>
  <c r="B20" i="4" s="1"/>
  <c r="J19" i="4"/>
  <c r="G20" i="4" l="1"/>
  <c r="D20" i="4"/>
  <c r="E20" i="4" l="1"/>
  <c r="H20" i="4" s="1"/>
  <c r="J20" i="4" s="1"/>
  <c r="C20" i="4" l="1"/>
  <c r="I20" i="4" s="1"/>
  <c r="B21" i="4" s="1"/>
  <c r="D21" i="4" s="1"/>
  <c r="E21" i="4"/>
  <c r="H21" i="4" l="1"/>
  <c r="J21" i="4" s="1"/>
  <c r="G21" i="4"/>
  <c r="C21" i="4"/>
  <c r="I21" i="4" s="1"/>
  <c r="B22" i="4" s="1"/>
  <c r="D22" i="4" s="1"/>
  <c r="E22" i="4" s="1"/>
  <c r="H22" i="4" s="1"/>
  <c r="G22" i="4"/>
  <c r="C22" i="4" l="1"/>
  <c r="I22" i="4" s="1"/>
  <c r="B23" i="4" s="1"/>
  <c r="G23" i="4"/>
  <c r="D23" i="4"/>
  <c r="J22" i="4"/>
  <c r="E23" i="4" l="1"/>
  <c r="H23" i="4" s="1"/>
  <c r="J23" i="4" s="1"/>
  <c r="C23" i="4" l="1"/>
  <c r="I23" i="4" s="1"/>
  <c r="B24" i="4" s="1"/>
  <c r="E24" i="4"/>
  <c r="D24" i="4" l="1"/>
  <c r="C24" i="4" s="1"/>
  <c r="I24" i="4" s="1"/>
  <c r="B25" i="4" s="1"/>
  <c r="G24" i="4"/>
  <c r="H24" i="4" s="1"/>
  <c r="J24" i="4" s="1"/>
  <c r="G25" i="4" l="1"/>
  <c r="D25" i="4"/>
  <c r="E25" i="4" s="1"/>
  <c r="H25" i="4" l="1"/>
  <c r="J25" i="4" s="1"/>
  <c r="C25" i="4"/>
  <c r="I25" i="4" s="1"/>
  <c r="B26" i="4" s="1"/>
  <c r="G26" i="4" l="1"/>
  <c r="D26" i="4"/>
  <c r="E26" i="4" s="1"/>
  <c r="E27" i="4"/>
  <c r="C26" i="4" l="1"/>
  <c r="I26" i="4" s="1"/>
  <c r="B27" i="4" s="1"/>
  <c r="H26" i="4"/>
  <c r="J26" i="4" s="1"/>
  <c r="D27" i="4" l="1"/>
  <c r="C27" i="4" s="1"/>
  <c r="I27" i="4" s="1"/>
  <c r="B28" i="4" s="1"/>
  <c r="G28" i="4" s="1"/>
  <c r="G27" i="4"/>
  <c r="H27" i="4" s="1"/>
  <c r="J27" i="4" s="1"/>
  <c r="D28" i="4"/>
  <c r="E28" i="4"/>
  <c r="C28" i="4" s="1"/>
  <c r="I28" i="4" s="1"/>
  <c r="B29" i="4" s="1"/>
  <c r="H28" i="4" l="1"/>
  <c r="G29" i="4"/>
  <c r="D29" i="4"/>
  <c r="J28" i="4" l="1"/>
  <c r="E29" i="4"/>
  <c r="C29" i="4" s="1"/>
  <c r="I29" i="4" s="1"/>
  <c r="B30" i="4" s="1"/>
  <c r="H29" i="4" l="1"/>
  <c r="D30" i="4"/>
  <c r="G30" i="4"/>
  <c r="J29" i="4" l="1"/>
  <c r="E30" i="4"/>
  <c r="H30" i="4" s="1"/>
  <c r="J30" i="4" l="1"/>
  <c r="C30" i="4"/>
  <c r="I30" i="4" s="1"/>
  <c r="B31" i="4" s="1"/>
  <c r="D31" i="4" s="1"/>
  <c r="G31" i="4" l="1"/>
  <c r="E31" i="4"/>
  <c r="H31" i="4" l="1"/>
  <c r="C31" i="4"/>
  <c r="I31" i="4" s="1"/>
  <c r="B32" i="4" s="1"/>
  <c r="G32" i="4" s="1"/>
  <c r="J31" i="4" l="1"/>
  <c r="D32" i="4"/>
  <c r="E32" i="4" s="1"/>
  <c r="C32" i="4" s="1"/>
  <c r="I32" i="4" s="1"/>
  <c r="B33" i="4" s="1"/>
  <c r="H32" i="4" l="1"/>
  <c r="G33" i="4"/>
  <c r="D33" i="4"/>
  <c r="J32" i="4" l="1"/>
  <c r="E33" i="4"/>
  <c r="C33" i="4" s="1"/>
  <c r="I33" i="4" s="1"/>
  <c r="B34" i="4" s="1"/>
  <c r="H33" i="4" l="1"/>
  <c r="G34" i="4"/>
  <c r="D34" i="4"/>
  <c r="J33" i="4" l="1"/>
  <c r="E34" i="4"/>
  <c r="C34" i="4" s="1"/>
  <c r="I34" i="4" s="1"/>
  <c r="B35" i="4" s="1"/>
  <c r="H34" i="4" l="1"/>
  <c r="D35" i="4"/>
  <c r="G35" i="4"/>
  <c r="J34" i="4" l="1"/>
  <c r="E35" i="4"/>
  <c r="H35" i="4" s="1"/>
  <c r="J35" i="4" l="1"/>
  <c r="C35" i="4"/>
  <c r="I35" i="4" s="1"/>
  <c r="B36" i="4" s="1"/>
  <c r="G36" i="4" s="1"/>
  <c r="D36" i="4" l="1"/>
  <c r="E36" i="4" s="1"/>
  <c r="C36" i="4" s="1"/>
  <c r="I36" i="4" s="1"/>
  <c r="B37" i="4" s="1"/>
  <c r="H36" i="4" l="1"/>
  <c r="G37" i="4"/>
  <c r="D37" i="4"/>
  <c r="J36" i="4" l="1"/>
  <c r="E37" i="4"/>
  <c r="C37" i="4" s="1"/>
  <c r="I37" i="4" s="1"/>
  <c r="B38" i="4" s="1"/>
  <c r="H37" i="4" l="1"/>
  <c r="G38" i="4"/>
  <c r="D38" i="4"/>
  <c r="J37" i="4" l="1"/>
  <c r="E38" i="4"/>
  <c r="C38" i="4" s="1"/>
  <c r="I38" i="4" s="1"/>
  <c r="B39" i="4" s="1"/>
  <c r="H38" i="4" l="1"/>
  <c r="G39" i="4"/>
  <c r="D39" i="4"/>
  <c r="J38" i="4" l="1"/>
  <c r="E39" i="4"/>
  <c r="H39" i="4" s="1"/>
  <c r="J39" i="4" l="1"/>
  <c r="C39" i="4"/>
  <c r="I39" i="4" s="1"/>
  <c r="B40" i="4" s="1"/>
  <c r="G40" i="4" s="1"/>
  <c r="D40" i="4" l="1"/>
  <c r="E40" i="4"/>
  <c r="H40" i="4" s="1"/>
  <c r="J40" i="4" l="1"/>
  <c r="C40" i="4"/>
  <c r="I40" i="4" s="1"/>
  <c r="B41" i="4" s="1"/>
  <c r="G41" i="4" s="1"/>
  <c r="D41" i="4" l="1"/>
  <c r="E41" i="4" s="1"/>
  <c r="C41" i="4" s="1"/>
  <c r="I41" i="4" s="1"/>
  <c r="B42" i="4" s="1"/>
  <c r="H41" i="4" l="1"/>
  <c r="G42" i="4"/>
  <c r="D42" i="4"/>
  <c r="J41" i="4" l="1"/>
  <c r="E42" i="4"/>
  <c r="H42" i="4" s="1"/>
  <c r="C42" i="4" l="1"/>
  <c r="I42" i="4" s="1"/>
  <c r="B43" i="4" s="1"/>
  <c r="D43" i="4" s="1"/>
  <c r="J42" i="4"/>
  <c r="G43" i="4" l="1"/>
  <c r="E43" i="4"/>
  <c r="H43" i="4" s="1"/>
  <c r="C43" i="4" l="1"/>
  <c r="I43" i="4" s="1"/>
  <c r="B44" i="4" s="1"/>
  <c r="D44" i="4" s="1"/>
  <c r="J43" i="4"/>
  <c r="G44" i="4" l="1"/>
  <c r="E44" i="4"/>
  <c r="H44" i="4" l="1"/>
  <c r="J44" i="4" s="1"/>
  <c r="C44" i="4"/>
  <c r="I44" i="4" s="1"/>
  <c r="B45" i="4" s="1"/>
  <c r="D45" i="4" s="1"/>
  <c r="G45" i="4" l="1"/>
  <c r="E45" i="4"/>
  <c r="H45" i="4" l="1"/>
  <c r="C45" i="4"/>
  <c r="I45" i="4" s="1"/>
  <c r="B46" i="4" s="1"/>
  <c r="G46" i="4" s="1"/>
  <c r="J45" i="4" l="1"/>
  <c r="D46" i="4"/>
  <c r="E46" i="4"/>
  <c r="H46" i="4" s="1"/>
  <c r="C46" i="4" l="1"/>
  <c r="I46" i="4" s="1"/>
  <c r="B47" i="4" s="1"/>
  <c r="G47" i="4" s="1"/>
  <c r="J46" i="4"/>
  <c r="D47" i="4" l="1"/>
  <c r="E47" i="4"/>
  <c r="C47" i="4" s="1"/>
  <c r="I47" i="4" s="1"/>
  <c r="B48" i="4" s="1"/>
  <c r="H47" i="4" l="1"/>
  <c r="D48" i="4"/>
  <c r="G48" i="4"/>
  <c r="J47" i="4" l="1"/>
  <c r="E48" i="4"/>
  <c r="H48" i="4" s="1"/>
  <c r="J48" i="4" l="1"/>
  <c r="C48" i="4"/>
  <c r="I48" i="4" s="1"/>
  <c r="B49" i="4" s="1"/>
  <c r="G49" i="4" s="1"/>
  <c r="D49" i="4" l="1"/>
  <c r="E49" i="4"/>
  <c r="C49" i="4" l="1"/>
  <c r="I49" i="4" s="1"/>
  <c r="B50" i="4" s="1"/>
  <c r="D50" i="4" s="1"/>
  <c r="H49" i="4"/>
  <c r="G50" i="4" l="1"/>
  <c r="J49" i="4"/>
  <c r="E50" i="4"/>
  <c r="H50" i="4" s="1"/>
  <c r="J50" i="4" l="1"/>
  <c r="C50" i="4"/>
  <c r="I50" i="4" s="1"/>
  <c r="B51" i="4" s="1"/>
  <c r="G51" i="4" s="1"/>
  <c r="D51" i="4" l="1"/>
  <c r="E51" i="4"/>
  <c r="C51" i="4" s="1"/>
  <c r="I51" i="4" s="1"/>
  <c r="B52" i="4" s="1"/>
  <c r="H51" i="4" l="1"/>
  <c r="D52" i="4"/>
  <c r="G52" i="4"/>
  <c r="J51" i="4" l="1"/>
  <c r="E52" i="4"/>
  <c r="H52" i="4" s="1"/>
  <c r="J52" i="4" l="1"/>
  <c r="C52" i="4"/>
  <c r="I52" i="4" s="1"/>
  <c r="B53" i="4" s="1"/>
  <c r="D53" i="4" s="1"/>
  <c r="G53" i="4" l="1"/>
  <c r="E53" i="4"/>
  <c r="H53" i="4" l="1"/>
  <c r="J53" i="4" s="1"/>
  <c r="C53" i="4"/>
  <c r="I53" i="4" s="1"/>
  <c r="B54" i="4" s="1"/>
  <c r="D54" i="4" s="1"/>
  <c r="G54" i="4" l="1"/>
  <c r="E54" i="4"/>
  <c r="H54" i="4" l="1"/>
  <c r="J54" i="4" s="1"/>
  <c r="C54" i="4"/>
  <c r="I54" i="4" s="1"/>
  <c r="B55" i="4" s="1"/>
  <c r="D55" i="4" s="1"/>
  <c r="G55" i="4" l="1"/>
  <c r="E55" i="4"/>
  <c r="H55" i="4" l="1"/>
  <c r="C55" i="4"/>
  <c r="I55" i="4" s="1"/>
  <c r="B56" i="4" s="1"/>
  <c r="D56" i="4" s="1"/>
  <c r="J55" i="4"/>
  <c r="G56" i="4" l="1"/>
  <c r="E56" i="4"/>
  <c r="H56" i="4" l="1"/>
  <c r="J56" i="4" s="1"/>
  <c r="C56" i="4"/>
  <c r="I56" i="4" s="1"/>
  <c r="B57" i="4" s="1"/>
  <c r="D57" i="4" s="1"/>
  <c r="G57" i="4" l="1"/>
  <c r="E57" i="4"/>
  <c r="C57" i="4" s="1"/>
  <c r="I57" i="4" s="1"/>
  <c r="B58" i="4" s="1"/>
  <c r="H57" i="4" l="1"/>
  <c r="D58" i="4"/>
  <c r="G58" i="4"/>
  <c r="J57" i="4"/>
  <c r="E58" i="4" l="1"/>
  <c r="H58" i="4" s="1"/>
  <c r="C58" i="4" l="1"/>
  <c r="I58" i="4" s="1"/>
  <c r="B59" i="4" s="1"/>
  <c r="G59" i="4" s="1"/>
  <c r="J58" i="4"/>
  <c r="D59" i="4" l="1"/>
  <c r="E59" i="4"/>
  <c r="C59" i="4" s="1"/>
  <c r="I59" i="4" s="1"/>
  <c r="B60" i="4" s="1"/>
  <c r="H59" i="4" l="1"/>
  <c r="D60" i="4"/>
  <c r="G60" i="4"/>
  <c r="J59" i="4" l="1"/>
  <c r="E60" i="4"/>
  <c r="H60" i="4" s="1"/>
  <c r="C60" i="4" l="1"/>
  <c r="I60" i="4" s="1"/>
  <c r="B61" i="4" s="1"/>
  <c r="D61" i="4" s="1"/>
  <c r="J60" i="4"/>
  <c r="G61" i="4" l="1"/>
  <c r="E61" i="4"/>
  <c r="H61" i="4" l="1"/>
  <c r="J61" i="4" s="1"/>
  <c r="C61" i="4"/>
  <c r="I61" i="4" s="1"/>
  <c r="B62" i="4" s="1"/>
  <c r="D62" i="4" s="1"/>
  <c r="G62" i="4" l="1"/>
  <c r="E62" i="4"/>
  <c r="H62" i="4" l="1"/>
  <c r="J62" i="4" s="1"/>
  <c r="C62" i="4"/>
  <c r="I62" i="4" s="1"/>
  <c r="B63" i="4" s="1"/>
  <c r="G63" i="4" s="1"/>
  <c r="D63" i="4" l="1"/>
  <c r="E63" i="4" s="1"/>
  <c r="C63" i="4" s="1"/>
  <c r="I63" i="4" s="1"/>
  <c r="B64" i="4" s="1"/>
  <c r="H63" i="4" l="1"/>
  <c r="J63" i="4" s="1"/>
  <c r="G64" i="4"/>
  <c r="D64" i="4"/>
  <c r="E64" i="4" l="1"/>
  <c r="H64" i="4" s="1"/>
  <c r="C64" i="4" l="1"/>
  <c r="I64" i="4" s="1"/>
  <c r="B65" i="4" s="1"/>
  <c r="G65" i="4" s="1"/>
  <c r="J64" i="4"/>
  <c r="D65" i="4" l="1"/>
  <c r="E65" i="4"/>
  <c r="C65" i="4" l="1"/>
  <c r="I65" i="4" s="1"/>
  <c r="B66" i="4" s="1"/>
  <c r="G66" i="4" s="1"/>
  <c r="H65" i="4"/>
  <c r="D66" i="4" l="1"/>
  <c r="J65" i="4"/>
  <c r="E66" i="4"/>
  <c r="H66" i="4" l="1"/>
  <c r="J66" i="4" s="1"/>
  <c r="C66" i="4"/>
  <c r="I66" i="4" s="1"/>
  <c r="B67" i="4" l="1"/>
  <c r="G67" i="4" l="1"/>
  <c r="D67" i="4"/>
  <c r="E67" i="4" s="1"/>
  <c r="H67" i="4" l="1"/>
  <c r="J67" i="4" s="1"/>
  <c r="C67" i="4"/>
  <c r="I67" i="4" s="1"/>
  <c r="B68" i="4" s="1"/>
  <c r="G68" i="4" l="1"/>
  <c r="D68" i="4"/>
  <c r="E68" i="4" s="1"/>
  <c r="H68" i="4" l="1"/>
  <c r="J68" i="4" s="1"/>
  <c r="C68" i="4"/>
  <c r="I68" i="4" s="1"/>
  <c r="B69" i="4" s="1"/>
  <c r="D69" i="4" l="1"/>
  <c r="E69" i="4" s="1"/>
  <c r="G69" i="4"/>
  <c r="H69" i="4" l="1"/>
  <c r="J69" i="4" s="1"/>
  <c r="C69" i="4"/>
  <c r="I69" i="4" s="1"/>
  <c r="B70" i="4" s="1"/>
  <c r="G70" i="4" l="1"/>
  <c r="D70" i="4"/>
  <c r="E70" i="4" s="1"/>
  <c r="H70" i="4" l="1"/>
  <c r="J70" i="4" s="1"/>
  <c r="C70" i="4"/>
  <c r="I70" i="4" s="1"/>
  <c r="B71" i="4" s="1"/>
  <c r="D71" i="4" l="1"/>
  <c r="E71" i="4" s="1"/>
  <c r="G71" i="4"/>
  <c r="H71" i="4" l="1"/>
  <c r="J71" i="4" s="1"/>
  <c r="C71" i="4"/>
  <c r="I71" i="4" s="1"/>
  <c r="B72" i="4" s="1"/>
  <c r="D72" i="4" l="1"/>
  <c r="G72" i="4"/>
  <c r="E72" i="4" l="1"/>
  <c r="H72" i="4" s="1"/>
  <c r="J72" i="4" s="1"/>
  <c r="C72" i="4" l="1"/>
  <c r="I72" i="4" s="1"/>
  <c r="B73" i="4" s="1"/>
  <c r="G73" i="4" s="1"/>
  <c r="E73" i="4"/>
  <c r="H73" i="4" l="1"/>
  <c r="J73" i="4" s="1"/>
  <c r="D73" i="4"/>
  <c r="C73" i="4" s="1"/>
  <c r="I73" i="4" s="1"/>
  <c r="B74" i="4" s="1"/>
  <c r="D74" i="4" s="1"/>
  <c r="E74" i="4"/>
  <c r="C74" i="4" l="1"/>
  <c r="I74" i="4" s="1"/>
  <c r="B75" i="4" s="1"/>
  <c r="G75" i="4" s="1"/>
  <c r="G74" i="4"/>
  <c r="H74" i="4" s="1"/>
  <c r="J74" i="4" s="1"/>
  <c r="D75" i="4"/>
  <c r="C75" i="4"/>
  <c r="I75" i="4" s="1"/>
  <c r="B76" i="4" s="1"/>
  <c r="D76" i="4" s="1"/>
  <c r="E75" i="4"/>
  <c r="H75" i="4" s="1"/>
  <c r="J75" i="4" s="1"/>
  <c r="E76" i="4" l="1"/>
  <c r="C76" i="4" s="1"/>
  <c r="I76" i="4" s="1"/>
  <c r="B77" i="4" s="1"/>
  <c r="D77" i="4" s="1"/>
  <c r="G76" i="4"/>
  <c r="E77" i="4" l="1"/>
  <c r="C77" i="4" s="1"/>
  <c r="I77" i="4" s="1"/>
  <c r="B78" i="4" s="1"/>
  <c r="D78" i="4" s="1"/>
  <c r="G77" i="4"/>
  <c r="H76" i="4"/>
  <c r="J76" i="4" s="1"/>
  <c r="H77" i="4" l="1"/>
  <c r="J77" i="4" s="1"/>
  <c r="G78" i="4"/>
  <c r="E78" i="4"/>
  <c r="C78" i="4" s="1"/>
  <c r="I78" i="4" s="1"/>
  <c r="B79" i="4" s="1"/>
  <c r="D79" i="4" s="1"/>
  <c r="H78" i="4" l="1"/>
  <c r="J78" i="4" s="1"/>
  <c r="G79" i="4"/>
  <c r="E79" i="4"/>
  <c r="H79" i="4" s="1"/>
  <c r="J79" i="4" s="1"/>
  <c r="C79" i="4" l="1"/>
  <c r="I79" i="4" s="1"/>
  <c r="B80" i="4" s="1"/>
  <c r="G80" i="4" s="1"/>
  <c r="D80" i="4" l="1"/>
  <c r="E80" i="4"/>
  <c r="H80" i="4" s="1"/>
  <c r="J80" i="4" s="1"/>
  <c r="C80" i="4" l="1"/>
  <c r="I80" i="4" s="1"/>
  <c r="B81" i="4" s="1"/>
  <c r="D81" i="4" s="1"/>
  <c r="G81" i="4" l="1"/>
  <c r="E81" i="4"/>
  <c r="H81" i="4" s="1"/>
  <c r="J81" i="4" s="1"/>
  <c r="C81" i="4" l="1"/>
  <c r="I81" i="4" s="1"/>
  <c r="B82" i="4" s="1"/>
  <c r="D82" i="4" s="1"/>
  <c r="G82" i="4" l="1"/>
  <c r="E82" i="4"/>
  <c r="H82" i="4" s="1"/>
  <c r="J82" i="4" s="1"/>
  <c r="C82" i="4" l="1"/>
  <c r="I82" i="4" s="1"/>
  <c r="B83" i="4" s="1"/>
  <c r="D83" i="4" s="1"/>
  <c r="G83" i="4" l="1"/>
  <c r="E83" i="4"/>
  <c r="H83" i="4" s="1"/>
  <c r="J83" i="4" s="1"/>
  <c r="C83" i="4" l="1"/>
  <c r="I83" i="4" s="1"/>
  <c r="B84" i="4" s="1"/>
  <c r="D84" i="4" s="1"/>
  <c r="G84" i="4" l="1"/>
  <c r="E84" i="4"/>
  <c r="H84" i="4" s="1"/>
  <c r="J84" i="4" s="1"/>
  <c r="C84" i="4" l="1"/>
  <c r="I84" i="4" s="1"/>
  <c r="B85" i="4" s="1"/>
  <c r="D85" i="4" s="1"/>
  <c r="G85" i="4" l="1"/>
  <c r="E85" i="4"/>
  <c r="H85" i="4" s="1"/>
  <c r="J85" i="4" s="1"/>
  <c r="C85" i="4" l="1"/>
  <c r="I85" i="4" s="1"/>
  <c r="B86" i="4" s="1"/>
  <c r="G86" i="4" s="1"/>
  <c r="D86" i="4"/>
  <c r="E86" i="4" l="1"/>
  <c r="H86" i="4" s="1"/>
  <c r="J86" i="4" s="1"/>
  <c r="C86" i="4" l="1"/>
  <c r="I86" i="4" s="1"/>
  <c r="B87" i="4" s="1"/>
  <c r="G87" i="4" s="1"/>
  <c r="D87" i="4" l="1"/>
  <c r="E87" i="4"/>
  <c r="H87" i="4" s="1"/>
  <c r="J87" i="4" s="1"/>
  <c r="C87" i="4" l="1"/>
  <c r="I87" i="4" s="1"/>
  <c r="B88" i="4" s="1"/>
  <c r="D88" i="4" s="1"/>
  <c r="G88" i="4"/>
  <c r="E88" i="4" l="1"/>
  <c r="H88" i="4" s="1"/>
  <c r="J88" i="4" s="1"/>
  <c r="C88" i="4" l="1"/>
  <c r="I88" i="4" s="1"/>
  <c r="B89" i="4" s="1"/>
  <c r="G89" i="4" s="1"/>
  <c r="D89" i="4" l="1"/>
  <c r="E89" i="4"/>
  <c r="H89" i="4" s="1"/>
  <c r="J89" i="4" s="1"/>
  <c r="C89" i="4" l="1"/>
  <c r="I89" i="4" s="1"/>
  <c r="B90" i="4" s="1"/>
  <c r="D90" i="4" s="1"/>
  <c r="G90" i="4" l="1"/>
  <c r="E90" i="4"/>
  <c r="H90" i="4" s="1"/>
  <c r="J90" i="4" s="1"/>
  <c r="C90" i="4" l="1"/>
  <c r="I90" i="4" s="1"/>
  <c r="B91" i="4" s="1"/>
  <c r="D91" i="4" s="1"/>
  <c r="G91" i="4" l="1"/>
  <c r="E91" i="4"/>
  <c r="H91" i="4" s="1"/>
  <c r="J91" i="4" s="1"/>
  <c r="C91" i="4" l="1"/>
  <c r="I91" i="4" s="1"/>
  <c r="B92" i="4" s="1"/>
  <c r="D92" i="4" s="1"/>
  <c r="G92" i="4"/>
  <c r="E92" i="4" l="1"/>
  <c r="H92" i="4" s="1"/>
  <c r="J92" i="4" s="1"/>
  <c r="C92" i="4" l="1"/>
  <c r="I92" i="4" s="1"/>
  <c r="B93" i="4" s="1"/>
  <c r="G93" i="4" s="1"/>
  <c r="D93" i="4" l="1"/>
  <c r="E93" i="4"/>
  <c r="H93" i="4" s="1"/>
  <c r="J93" i="4" s="1"/>
  <c r="C93" i="4" l="1"/>
  <c r="I93" i="4" s="1"/>
  <c r="B94" i="4" s="1"/>
  <c r="D94" i="4" s="1"/>
  <c r="G94" i="4" l="1"/>
  <c r="E94" i="4"/>
  <c r="H94" i="4" s="1"/>
  <c r="J94" i="4" s="1"/>
  <c r="C94" i="4" l="1"/>
  <c r="I94" i="4" s="1"/>
  <c r="B95" i="4" s="1"/>
  <c r="G95" i="4" s="1"/>
  <c r="D95" i="4" l="1"/>
  <c r="E95" i="4"/>
  <c r="H95" i="4" s="1"/>
  <c r="J95" i="4" s="1"/>
  <c r="C95" i="4" l="1"/>
  <c r="I95" i="4" s="1"/>
  <c r="B96" i="4" s="1"/>
  <c r="G96" i="4" s="1"/>
  <c r="D96" i="4" l="1"/>
  <c r="E96" i="4"/>
  <c r="H96" i="4" s="1"/>
  <c r="J96" i="4" s="1"/>
  <c r="C96" i="4" l="1"/>
  <c r="I96" i="4" s="1"/>
  <c r="B97" i="4" s="1"/>
  <c r="G97" i="4" s="1"/>
  <c r="D97" i="4" l="1"/>
  <c r="E97" i="4"/>
  <c r="H97" i="4" s="1"/>
  <c r="J97" i="4" s="1"/>
  <c r="C97" i="4" l="1"/>
  <c r="I97" i="4" s="1"/>
  <c r="B98" i="4" s="1"/>
  <c r="G98" i="4"/>
  <c r="D98" i="4"/>
  <c r="E98" i="4" l="1"/>
  <c r="H98" i="4" s="1"/>
  <c r="J98" i="4" s="1"/>
  <c r="C98" i="4" l="1"/>
  <c r="I98" i="4" s="1"/>
  <c r="B99" i="4" s="1"/>
  <c r="D99" i="4"/>
  <c r="G99" i="4"/>
  <c r="E99" i="4" l="1"/>
  <c r="H99" i="4" s="1"/>
  <c r="J99" i="4" s="1"/>
  <c r="C99" i="4" l="1"/>
  <c r="I99" i="4" s="1"/>
  <c r="B100" i="4" s="1"/>
  <c r="D100" i="4" s="1"/>
  <c r="G100" i="4" l="1"/>
  <c r="E100" i="4"/>
  <c r="H100" i="4" s="1"/>
  <c r="J100" i="4" s="1"/>
  <c r="C100" i="4" l="1"/>
  <c r="I100" i="4" s="1"/>
  <c r="B101" i="4" s="1"/>
  <c r="D101" i="4" s="1"/>
  <c r="G101" i="4" l="1"/>
  <c r="E101" i="4"/>
  <c r="H101" i="4" s="1"/>
  <c r="J101" i="4" s="1"/>
  <c r="C101" i="4" l="1"/>
  <c r="I101" i="4" s="1"/>
  <c r="B102" i="4" s="1"/>
  <c r="D102" i="4" s="1"/>
  <c r="G102" i="4" l="1"/>
  <c r="E102" i="4"/>
  <c r="H102" i="4" s="1"/>
  <c r="J102" i="4" s="1"/>
  <c r="C102" i="4" l="1"/>
  <c r="I102" i="4" s="1"/>
  <c r="B103" i="4" s="1"/>
  <c r="G103" i="4" s="1"/>
  <c r="D103" i="4" l="1"/>
  <c r="E103" i="4"/>
  <c r="H103" i="4" s="1"/>
  <c r="J103" i="4" s="1"/>
  <c r="C103" i="4" l="1"/>
  <c r="I103" i="4" s="1"/>
  <c r="B104" i="4" s="1"/>
  <c r="D104" i="4" s="1"/>
  <c r="G104" i="4" l="1"/>
  <c r="E104" i="4"/>
  <c r="H104" i="4" s="1"/>
  <c r="J104" i="4" s="1"/>
  <c r="C104" i="4" l="1"/>
  <c r="I104" i="4" s="1"/>
  <c r="B105" i="4" s="1"/>
  <c r="G105" i="4" s="1"/>
  <c r="D105" i="4" l="1"/>
  <c r="E105" i="4"/>
  <c r="H105" i="4" s="1"/>
  <c r="J105" i="4" s="1"/>
  <c r="C105" i="4" l="1"/>
  <c r="I105" i="4" s="1"/>
  <c r="B106" i="4" s="1"/>
  <c r="D106" i="4" s="1"/>
  <c r="G106" i="4" l="1"/>
  <c r="E106" i="4"/>
  <c r="H106" i="4" s="1"/>
  <c r="J106" i="4" s="1"/>
  <c r="C106" i="4" l="1"/>
  <c r="I106" i="4" s="1"/>
  <c r="B107" i="4" s="1"/>
  <c r="D107" i="4" s="1"/>
  <c r="G107" i="4" l="1"/>
  <c r="E107" i="4"/>
  <c r="H107" i="4" s="1"/>
  <c r="J107" i="4" s="1"/>
  <c r="C107" i="4" l="1"/>
  <c r="I107" i="4" s="1"/>
  <c r="B108" i="4" s="1"/>
  <c r="G108" i="4" s="1"/>
  <c r="D108" i="4" l="1"/>
  <c r="E108" i="4"/>
  <c r="H108" i="4" s="1"/>
  <c r="J108" i="4" s="1"/>
  <c r="C108" i="4" l="1"/>
  <c r="I108" i="4" s="1"/>
  <c r="B109" i="4" s="1"/>
  <c r="G109" i="4" s="1"/>
  <c r="D109" i="4" l="1"/>
  <c r="E109" i="4"/>
  <c r="H109" i="4" s="1"/>
  <c r="J109" i="4" s="1"/>
  <c r="C109" i="4" l="1"/>
  <c r="I109" i="4" s="1"/>
  <c r="B110" i="4" s="1"/>
  <c r="D110" i="4" s="1"/>
  <c r="G110" i="4" l="1"/>
  <c r="E110" i="4"/>
  <c r="H110" i="4" s="1"/>
  <c r="J110" i="4" s="1"/>
  <c r="C110" i="4" l="1"/>
  <c r="I110" i="4" s="1"/>
  <c r="B111" i="4" s="1"/>
  <c r="G111" i="4" s="1"/>
  <c r="D111" i="4" l="1"/>
  <c r="E111" i="4"/>
  <c r="H111" i="4" s="1"/>
  <c r="J111" i="4" s="1"/>
  <c r="C111" i="4" l="1"/>
  <c r="I111" i="4" s="1"/>
  <c r="B112" i="4" s="1"/>
  <c r="D112" i="4" s="1"/>
  <c r="G112" i="4"/>
  <c r="E112" i="4" l="1"/>
  <c r="H112" i="4" s="1"/>
  <c r="J112" i="4" s="1"/>
  <c r="C112" i="4" l="1"/>
  <c r="I112" i="4" s="1"/>
  <c r="B113" i="4" s="1"/>
  <c r="D113" i="4" s="1"/>
  <c r="G113" i="4" l="1"/>
  <c r="E113" i="4"/>
  <c r="H113" i="4" s="1"/>
  <c r="J113" i="4" s="1"/>
  <c r="C113" i="4" l="1"/>
  <c r="I113" i="4" s="1"/>
  <c r="B114" i="4" s="1"/>
  <c r="D114" i="4" s="1"/>
  <c r="G114" i="4" l="1"/>
  <c r="E114" i="4"/>
  <c r="H114" i="4" s="1"/>
  <c r="J114" i="4" s="1"/>
  <c r="C114" i="4" l="1"/>
  <c r="I114" i="4" s="1"/>
  <c r="B115" i="4" s="1"/>
  <c r="G115" i="4" s="1"/>
  <c r="D115" i="4" l="1"/>
  <c r="E115" i="4"/>
  <c r="H115" i="4" s="1"/>
  <c r="J115" i="4" s="1"/>
  <c r="C115" i="4" l="1"/>
  <c r="I115" i="4" s="1"/>
  <c r="B116" i="4" s="1"/>
  <c r="G116" i="4" s="1"/>
  <c r="D116" i="4" l="1"/>
  <c r="E116" i="4"/>
  <c r="H116" i="4" s="1"/>
  <c r="J116" i="4" s="1"/>
  <c r="C116" i="4" l="1"/>
  <c r="I116" i="4" s="1"/>
  <c r="B117" i="4" s="1"/>
  <c r="D117" i="4" s="1"/>
  <c r="G117" i="4" l="1"/>
  <c r="E117" i="4"/>
  <c r="H117" i="4" l="1"/>
  <c r="J117" i="4" s="1"/>
  <c r="C117" i="4"/>
  <c r="I117" i="4" s="1"/>
  <c r="B118" i="4" s="1"/>
  <c r="D118" i="4" s="1"/>
  <c r="G118" i="4" l="1"/>
  <c r="E118" i="4"/>
  <c r="H118" i="4" s="1"/>
  <c r="J118" i="4" s="1"/>
  <c r="C118" i="4" l="1"/>
  <c r="I118" i="4" s="1"/>
  <c r="B119" i="4" s="1"/>
  <c r="G119" i="4" s="1"/>
  <c r="D119" i="4" l="1"/>
  <c r="E119" i="4"/>
  <c r="H119" i="4" s="1"/>
  <c r="J119" i="4" s="1"/>
  <c r="C119" i="4" l="1"/>
  <c r="I119" i="4" s="1"/>
  <c r="B120" i="4" s="1"/>
  <c r="G120" i="4" s="1"/>
  <c r="D120" i="4" l="1"/>
  <c r="E120" i="4"/>
  <c r="C120" i="4" s="1"/>
  <c r="I120" i="4" s="1"/>
  <c r="B121" i="4" s="1"/>
  <c r="H120" i="4" l="1"/>
  <c r="J120" i="4" s="1"/>
  <c r="D121" i="4"/>
  <c r="G121" i="4"/>
  <c r="E121" i="4" l="1"/>
  <c r="H121" i="4" s="1"/>
  <c r="J121" i="4" s="1"/>
  <c r="C121" i="4" l="1"/>
  <c r="I121" i="4" s="1"/>
  <c r="B122" i="4" s="1"/>
  <c r="D122" i="4" s="1"/>
  <c r="G122" i="4" l="1"/>
  <c r="E122" i="4"/>
  <c r="H122" i="4" s="1"/>
  <c r="J122" i="4" s="1"/>
  <c r="C122" i="4" l="1"/>
  <c r="I122" i="4" s="1"/>
  <c r="B123" i="4" s="1"/>
  <c r="D123" i="4" s="1"/>
  <c r="G123" i="4" l="1"/>
  <c r="E123" i="4"/>
  <c r="H123" i="4" s="1"/>
  <c r="J123" i="4" s="1"/>
  <c r="C123" i="4" l="1"/>
  <c r="I123" i="4" s="1"/>
  <c r="B124" i="4" s="1"/>
  <c r="G124" i="4" s="1"/>
  <c r="D124" i="4" l="1"/>
  <c r="E124" i="4"/>
  <c r="H124" i="4" s="1"/>
  <c r="J124" i="4" s="1"/>
  <c r="C124" i="4" l="1"/>
  <c r="I124" i="4" s="1"/>
  <c r="B125" i="4" s="1"/>
  <c r="G125" i="4" s="1"/>
  <c r="D125" i="4" l="1"/>
  <c r="E125" i="4"/>
  <c r="H125" i="4" s="1"/>
  <c r="J125" i="4" s="1"/>
  <c r="C125" i="4" l="1"/>
  <c r="I125" i="4" s="1"/>
  <c r="B126" i="4" s="1"/>
  <c r="D126" i="4" s="1"/>
  <c r="G126" i="4" l="1"/>
  <c r="E126" i="4"/>
  <c r="H126" i="4" s="1"/>
  <c r="J126" i="4" s="1"/>
  <c r="C126" i="4" l="1"/>
  <c r="I126" i="4" s="1"/>
  <c r="B127" i="4" s="1"/>
  <c r="G127" i="4" s="1"/>
  <c r="D127" i="4" l="1"/>
  <c r="E127" i="4"/>
  <c r="H127" i="4" s="1"/>
  <c r="J127" i="4" s="1"/>
  <c r="C127" i="4" l="1"/>
  <c r="I127" i="4" s="1"/>
  <c r="B128" i="4" s="1"/>
  <c r="G128" i="4" s="1"/>
  <c r="D128" i="4" l="1"/>
  <c r="E128" i="4"/>
  <c r="H128" i="4" s="1"/>
  <c r="J128" i="4" s="1"/>
  <c r="C128" i="4" l="1"/>
  <c r="I128" i="4" s="1"/>
  <c r="B129" i="4" s="1"/>
  <c r="G129" i="4" s="1"/>
  <c r="D129" i="4" l="1"/>
  <c r="E129" i="4"/>
  <c r="H129" i="4" s="1"/>
  <c r="J129" i="4" s="1"/>
  <c r="C129" i="4" l="1"/>
  <c r="I129" i="4" s="1"/>
  <c r="B130" i="4" s="1"/>
  <c r="D130" i="4" s="1"/>
  <c r="G130" i="4" l="1"/>
  <c r="E130" i="4"/>
  <c r="H130" i="4" s="1"/>
  <c r="J130" i="4" s="1"/>
  <c r="C130" i="4" l="1"/>
  <c r="I130" i="4" s="1"/>
  <c r="B131" i="4" s="1"/>
  <c r="D131" i="4" s="1"/>
  <c r="G131" i="4" l="1"/>
  <c r="E131" i="4"/>
  <c r="H131" i="4" s="1"/>
  <c r="J131" i="4" s="1"/>
  <c r="C131" i="4" l="1"/>
  <c r="I131" i="4" s="1"/>
  <c r="B132" i="4" s="1"/>
  <c r="G132" i="4" s="1"/>
  <c r="D132" i="4" l="1"/>
  <c r="E132" i="4"/>
  <c r="H132" i="4" s="1"/>
  <c r="J132" i="4" s="1"/>
  <c r="C132" i="4" l="1"/>
  <c r="I132" i="4" s="1"/>
  <c r="B133" i="4" s="1"/>
  <c r="D133" i="4" s="1"/>
  <c r="G133" i="4" l="1"/>
  <c r="E133" i="4"/>
  <c r="H133" i="4" s="1"/>
  <c r="J133" i="4" s="1"/>
  <c r="C133" i="4" l="1"/>
  <c r="I133" i="4" s="1"/>
  <c r="B134" i="4" s="1"/>
  <c r="D134" i="4" s="1"/>
  <c r="G134" i="4" l="1"/>
  <c r="E134" i="4"/>
  <c r="H134" i="4" s="1"/>
  <c r="J134" i="4" s="1"/>
  <c r="C134" i="4" l="1"/>
  <c r="I134" i="4" s="1"/>
  <c r="B135" i="4" s="1"/>
  <c r="G135" i="4" s="1"/>
  <c r="D135" i="4" l="1"/>
  <c r="E135" i="4"/>
  <c r="H135" i="4" s="1"/>
  <c r="J135" i="4" s="1"/>
  <c r="C135" i="4" l="1"/>
  <c r="I135" i="4" s="1"/>
  <c r="B136" i="4" s="1"/>
  <c r="D136" i="4" s="1"/>
  <c r="G136" i="4" l="1"/>
  <c r="E136" i="4"/>
  <c r="H136" i="4" l="1"/>
  <c r="J136" i="4" s="1"/>
  <c r="C136" i="4"/>
  <c r="I136" i="4" s="1"/>
  <c r="B137" i="4" s="1"/>
  <c r="G137" i="4" s="1"/>
  <c r="D137" i="4" l="1"/>
  <c r="E137" i="4"/>
  <c r="H137" i="4" s="1"/>
  <c r="J137" i="4" s="1"/>
  <c r="C137" i="4" l="1"/>
  <c r="I137" i="4" s="1"/>
  <c r="B138" i="4" s="1"/>
  <c r="D138" i="4" s="1"/>
  <c r="G138" i="4" l="1"/>
  <c r="E138" i="4"/>
  <c r="H138" i="4" s="1"/>
  <c r="J138" i="4" s="1"/>
  <c r="C138" i="4" l="1"/>
  <c r="I138" i="4" s="1"/>
  <c r="B139" i="4" s="1"/>
  <c r="D139" i="4" s="1"/>
  <c r="G139" i="4" l="1"/>
  <c r="E139" i="4"/>
  <c r="H139" i="4" s="1"/>
  <c r="J139" i="4" s="1"/>
  <c r="C139" i="4" l="1"/>
  <c r="I139" i="4" s="1"/>
  <c r="B140" i="4" s="1"/>
  <c r="D140" i="4"/>
  <c r="G140" i="4"/>
  <c r="E140" i="4" l="1"/>
  <c r="H140" i="4" s="1"/>
  <c r="J140" i="4" s="1"/>
  <c r="C140" i="4" l="1"/>
  <c r="I140" i="4" s="1"/>
  <c r="B141" i="4" s="1"/>
  <c r="D141" i="4" s="1"/>
  <c r="G141" i="4" l="1"/>
  <c r="E141" i="4"/>
  <c r="H141" i="4" s="1"/>
  <c r="J141" i="4" s="1"/>
  <c r="C141" i="4" l="1"/>
  <c r="I141" i="4" s="1"/>
  <c r="B142" i="4" s="1"/>
  <c r="D142" i="4" s="1"/>
  <c r="G142" i="4" l="1"/>
  <c r="E142" i="4"/>
  <c r="H142" i="4" s="1"/>
  <c r="J142" i="4" s="1"/>
  <c r="C142" i="4" l="1"/>
  <c r="I142" i="4" s="1"/>
  <c r="B143" i="4" s="1"/>
  <c r="G143" i="4" s="1"/>
  <c r="D143" i="4" l="1"/>
  <c r="E143" i="4"/>
  <c r="H143" i="4" s="1"/>
  <c r="J143" i="4" s="1"/>
  <c r="C143" i="4" l="1"/>
  <c r="I143" i="4" s="1"/>
  <c r="B144" i="4" s="1"/>
  <c r="D144" i="4" s="1"/>
  <c r="G144" i="4" l="1"/>
  <c r="E144" i="4"/>
  <c r="H144" i="4" s="1"/>
  <c r="J144" i="4" s="1"/>
  <c r="C144" i="4" l="1"/>
  <c r="I144" i="4" s="1"/>
  <c r="B145" i="4" s="1"/>
  <c r="G145" i="4" s="1"/>
  <c r="D145" i="4"/>
  <c r="E145" i="4" l="1"/>
  <c r="H145" i="4" s="1"/>
  <c r="J145" i="4" s="1"/>
  <c r="C145" i="4" l="1"/>
  <c r="I145" i="4" s="1"/>
  <c r="B146" i="4" s="1"/>
  <c r="D146" i="4" s="1"/>
  <c r="G146" i="4" l="1"/>
  <c r="E146" i="4"/>
  <c r="H146" i="4" s="1"/>
  <c r="J146" i="4" s="1"/>
  <c r="C146" i="4" l="1"/>
  <c r="I146" i="4" s="1"/>
  <c r="B147" i="4" s="1"/>
  <c r="D147" i="4" s="1"/>
  <c r="G147" i="4" l="1"/>
  <c r="E147" i="4"/>
  <c r="H147" i="4" l="1"/>
  <c r="J147" i="4" s="1"/>
  <c r="C147" i="4"/>
  <c r="I147" i="4" s="1"/>
  <c r="B148" i="4" s="1"/>
  <c r="G148" i="4" s="1"/>
  <c r="D148" i="4" l="1"/>
  <c r="E148" i="4"/>
  <c r="C148" i="4" s="1"/>
  <c r="I148" i="4" s="1"/>
  <c r="B149" i="4" s="1"/>
  <c r="H148" i="4" l="1"/>
  <c r="J148" i="4" s="1"/>
  <c r="D149" i="4"/>
  <c r="G149" i="4"/>
  <c r="E149" i="4" l="1"/>
  <c r="H149" i="4" s="1"/>
  <c r="J149" i="4" s="1"/>
  <c r="C149" i="4" l="1"/>
  <c r="I149" i="4" s="1"/>
  <c r="B150" i="4" s="1"/>
  <c r="D150" i="4" s="1"/>
  <c r="G150" i="4" l="1"/>
  <c r="E150" i="4"/>
  <c r="H150" i="4" s="1"/>
  <c r="J150" i="4" s="1"/>
  <c r="C150" i="4" l="1"/>
  <c r="I150" i="4" s="1"/>
  <c r="B151" i="4" s="1"/>
  <c r="D151" i="4" s="1"/>
  <c r="G151" i="4" l="1"/>
  <c r="E151" i="4"/>
  <c r="H151" i="4" s="1"/>
  <c r="J151" i="4" s="1"/>
  <c r="C151" i="4" l="1"/>
  <c r="I151" i="4" s="1"/>
  <c r="B152" i="4" s="1"/>
  <c r="D152" i="4" s="1"/>
  <c r="G152" i="4"/>
  <c r="E152" i="4" l="1"/>
  <c r="H152" i="4" s="1"/>
  <c r="J152" i="4" s="1"/>
  <c r="C152" i="4" l="1"/>
  <c r="I152" i="4" s="1"/>
  <c r="B153" i="4" s="1"/>
  <c r="G153" i="4" s="1"/>
  <c r="D153" i="4" l="1"/>
  <c r="E153" i="4"/>
  <c r="H153" i="4" s="1"/>
  <c r="J153" i="4" s="1"/>
  <c r="C153" i="4" l="1"/>
  <c r="I153" i="4" s="1"/>
  <c r="B154" i="4" s="1"/>
  <c r="D154" i="4" s="1"/>
  <c r="G154" i="4" l="1"/>
  <c r="E154" i="4"/>
  <c r="H154" i="4" s="1"/>
  <c r="J154" i="4" s="1"/>
  <c r="C154" i="4" l="1"/>
  <c r="I154" i="4" s="1"/>
  <c r="B155" i="4" s="1"/>
  <c r="D155" i="4" s="1"/>
  <c r="G155" i="4" l="1"/>
  <c r="E155" i="4"/>
  <c r="H155" i="4" s="1"/>
  <c r="J155" i="4" s="1"/>
  <c r="C155" i="4" l="1"/>
  <c r="I155" i="4" s="1"/>
  <c r="B156" i="4" s="1"/>
  <c r="G156" i="4" s="1"/>
  <c r="D156" i="4" l="1"/>
  <c r="E156" i="4"/>
  <c r="C156" i="4" s="1"/>
  <c r="I156" i="4" s="1"/>
  <c r="B157" i="4" s="1"/>
  <c r="H156" i="4" l="1"/>
  <c r="J156" i="4" s="1"/>
  <c r="G157" i="4"/>
  <c r="D157" i="4"/>
  <c r="E157" i="4" l="1"/>
  <c r="C157" i="4" s="1"/>
  <c r="I157" i="4" s="1"/>
  <c r="B158" i="4" s="1"/>
  <c r="H157" i="4" l="1"/>
  <c r="J157" i="4" s="1"/>
  <c r="D158" i="4"/>
  <c r="G158" i="4"/>
  <c r="E158" i="4" l="1"/>
  <c r="H158" i="4" s="1"/>
  <c r="J158" i="4" s="1"/>
  <c r="C158" i="4" l="1"/>
  <c r="I158" i="4" s="1"/>
  <c r="B159" i="4" s="1"/>
  <c r="G159" i="4" s="1"/>
  <c r="D159" i="4" l="1"/>
  <c r="E159" i="4"/>
  <c r="C159" i="4" s="1"/>
  <c r="I159" i="4" s="1"/>
  <c r="B160" i="4" s="1"/>
  <c r="H159" i="4" l="1"/>
  <c r="J159" i="4" s="1"/>
  <c r="G160" i="4"/>
  <c r="D160" i="4"/>
  <c r="E160" i="4" l="1"/>
  <c r="H160" i="4" s="1"/>
  <c r="J160" i="4" s="1"/>
  <c r="C160" i="4" l="1"/>
  <c r="I160" i="4" s="1"/>
  <c r="B161" i="4" s="1"/>
  <c r="D161" i="4" s="1"/>
  <c r="G161" i="4" l="1"/>
  <c r="E161" i="4"/>
  <c r="H161" i="4" s="1"/>
  <c r="J161" i="4" s="1"/>
  <c r="C161" i="4" l="1"/>
  <c r="I161" i="4" s="1"/>
  <c r="B162" i="4" s="1"/>
  <c r="D162" i="4" s="1"/>
  <c r="G162" i="4" l="1"/>
  <c r="E162" i="4"/>
  <c r="H162" i="4" s="1"/>
  <c r="J162" i="4" s="1"/>
  <c r="C162" i="4" l="1"/>
  <c r="I162" i="4" s="1"/>
  <c r="B163" i="4" s="1"/>
  <c r="D163" i="4" s="1"/>
  <c r="G163" i="4" l="1"/>
  <c r="E163" i="4"/>
  <c r="H163" i="4" s="1"/>
  <c r="J163" i="4" s="1"/>
  <c r="C163" i="4" l="1"/>
  <c r="I163" i="4" s="1"/>
  <c r="B164" i="4" s="1"/>
  <c r="G164" i="4" s="1"/>
  <c r="D164" i="4" l="1"/>
  <c r="E164" i="4"/>
  <c r="H164" i="4" s="1"/>
  <c r="J164" i="4" s="1"/>
  <c r="C164" i="4" l="1"/>
  <c r="I164" i="4" s="1"/>
  <c r="B165" i="4" s="1"/>
  <c r="G165" i="4" s="1"/>
  <c r="D165" i="4" l="1"/>
  <c r="E165" i="4"/>
  <c r="H165" i="4" s="1"/>
  <c r="J165" i="4" s="1"/>
  <c r="C165" i="4" l="1"/>
  <c r="I165" i="4" s="1"/>
  <c r="B166" i="4" s="1"/>
  <c r="D166" i="4" s="1"/>
  <c r="G166" i="4" l="1"/>
  <c r="E166" i="4"/>
  <c r="H166" i="4" s="1"/>
  <c r="J166" i="4" s="1"/>
  <c r="C166" i="4" l="1"/>
  <c r="I166" i="4" s="1"/>
  <c r="B167" i="4" s="1"/>
  <c r="G167" i="4" s="1"/>
  <c r="D167" i="4" l="1"/>
  <c r="E167" i="4"/>
  <c r="C167" i="4" s="1"/>
  <c r="I167" i="4" s="1"/>
  <c r="B168" i="4" s="1"/>
  <c r="H167" i="4" l="1"/>
  <c r="J167" i="4" s="1"/>
  <c r="D168" i="4"/>
  <c r="G168" i="4"/>
  <c r="E168" i="4" l="1"/>
  <c r="H168" i="4" s="1"/>
  <c r="J168" i="4" s="1"/>
  <c r="C168" i="4" l="1"/>
  <c r="I168" i="4" s="1"/>
  <c r="B169" i="4" s="1"/>
  <c r="G169" i="4" s="1"/>
  <c r="D169" i="4" l="1"/>
  <c r="E169" i="4"/>
  <c r="H169" i="4" s="1"/>
  <c r="J169" i="4" s="1"/>
  <c r="C169" i="4" l="1"/>
  <c r="I169" i="4" s="1"/>
  <c r="B170" i="4" s="1"/>
  <c r="G170" i="4" s="1"/>
  <c r="D170" i="4" l="1"/>
  <c r="E170" i="4"/>
  <c r="C170" i="4" s="1"/>
  <c r="I170" i="4" s="1"/>
  <c r="B171" i="4" s="1"/>
  <c r="H170" i="4" l="1"/>
  <c r="J170" i="4" s="1"/>
  <c r="G171" i="4"/>
  <c r="D171" i="4"/>
  <c r="E171" i="4" l="1"/>
  <c r="H171" i="4" s="1"/>
  <c r="J171" i="4" s="1"/>
  <c r="C171" i="4" l="1"/>
  <c r="I171" i="4" s="1"/>
  <c r="B172" i="4" s="1"/>
  <c r="G172" i="4" s="1"/>
  <c r="D172" i="4" l="1"/>
  <c r="E172" i="4"/>
  <c r="H172" i="4" s="1"/>
  <c r="J172" i="4" s="1"/>
  <c r="C172" i="4" l="1"/>
  <c r="I172" i="4" s="1"/>
  <c r="B173" i="4" s="1"/>
  <c r="G173" i="4" s="1"/>
  <c r="D173" i="4" l="1"/>
  <c r="E173" i="4"/>
  <c r="C173" i="4" s="1"/>
  <c r="I173" i="4" s="1"/>
  <c r="B174" i="4" s="1"/>
  <c r="H173" i="4" l="1"/>
  <c r="J173" i="4" s="1"/>
  <c r="D174" i="4"/>
  <c r="G174" i="4"/>
  <c r="E174" i="4" l="1"/>
  <c r="H174" i="4" s="1"/>
  <c r="J174" i="4" s="1"/>
  <c r="C174" i="4" l="1"/>
  <c r="I174" i="4" s="1"/>
  <c r="B175" i="4" s="1"/>
  <c r="G175" i="4" s="1"/>
  <c r="D175" i="4" l="1"/>
  <c r="E175" i="4"/>
  <c r="H175" i="4" s="1"/>
  <c r="J175" i="4" s="1"/>
  <c r="C175" i="4" l="1"/>
  <c r="I175" i="4" s="1"/>
  <c r="B176" i="4" s="1"/>
  <c r="D176" i="4" s="1"/>
  <c r="G176" i="4" l="1"/>
  <c r="E176" i="4"/>
  <c r="H176" i="4" s="1"/>
  <c r="J176" i="4" s="1"/>
  <c r="C176" i="4" l="1"/>
  <c r="I176" i="4" s="1"/>
  <c r="B177" i="4" s="1"/>
  <c r="D177" i="4" s="1"/>
  <c r="G177" i="4" l="1"/>
  <c r="E177" i="4"/>
  <c r="H177" i="4" s="1"/>
  <c r="J177" i="4" s="1"/>
  <c r="C177" i="4" l="1"/>
  <c r="I177" i="4" s="1"/>
  <c r="B178" i="4" s="1"/>
  <c r="G178" i="4" s="1"/>
  <c r="D178" i="4" l="1"/>
  <c r="E178" i="4"/>
  <c r="C178" i="4" s="1"/>
  <c r="I178" i="4" s="1"/>
  <c r="B179" i="4" s="1"/>
  <c r="H178" i="4" l="1"/>
  <c r="J178" i="4" s="1"/>
  <c r="G179" i="4"/>
  <c r="D179" i="4"/>
  <c r="E179" i="4" l="1"/>
  <c r="H179" i="4" s="1"/>
  <c r="J179" i="4" s="1"/>
  <c r="C179" i="4" l="1"/>
  <c r="I179" i="4" s="1"/>
  <c r="B180" i="4" s="1"/>
  <c r="D180" i="4" s="1"/>
  <c r="G180" i="4" l="1"/>
  <c r="E180" i="4"/>
  <c r="H180" i="4" s="1"/>
  <c r="J180" i="4" s="1"/>
  <c r="C180" i="4" l="1"/>
  <c r="I180" i="4" s="1"/>
  <c r="B181" i="4" s="1"/>
  <c r="G181" i="4" s="1"/>
  <c r="D181" i="4" l="1"/>
  <c r="E181" i="4"/>
  <c r="C181" i="4" s="1"/>
  <c r="I181" i="4" s="1"/>
  <c r="B182" i="4" s="1"/>
  <c r="H181" i="4" l="1"/>
  <c r="J181" i="4" s="1"/>
  <c r="D182" i="4"/>
  <c r="G182" i="4"/>
  <c r="E182" i="4" l="1"/>
  <c r="H182" i="4" s="1"/>
  <c r="J182" i="4" s="1"/>
  <c r="C182" i="4" l="1"/>
  <c r="I182" i="4" s="1"/>
  <c r="B183" i="4" s="1"/>
  <c r="G183" i="4" s="1"/>
  <c r="D183" i="4" l="1"/>
  <c r="E183" i="4"/>
  <c r="C183" i="4" s="1"/>
  <c r="I183" i="4" s="1"/>
  <c r="B184" i="4" s="1"/>
  <c r="H183" i="4"/>
  <c r="J183" i="4" s="1"/>
  <c r="G184" i="4" l="1"/>
  <c r="D184" i="4"/>
  <c r="E184" i="4" l="1"/>
  <c r="C184" i="4" s="1"/>
  <c r="I184" i="4" s="1"/>
  <c r="B185" i="4" s="1"/>
  <c r="H184" i="4" l="1"/>
  <c r="J184" i="4" s="1"/>
  <c r="D185" i="4"/>
  <c r="G185" i="4"/>
  <c r="E185" i="4" l="1"/>
  <c r="H185" i="4" s="1"/>
  <c r="J185" i="4" s="1"/>
  <c r="C185" i="4" l="1"/>
  <c r="I185" i="4" s="1"/>
  <c r="B186" i="4" s="1"/>
  <c r="D186" i="4" s="1"/>
  <c r="G186" i="4" l="1"/>
  <c r="E186" i="4"/>
  <c r="H186" i="4" s="1"/>
  <c r="J186" i="4" s="1"/>
  <c r="C186" i="4" l="1"/>
  <c r="I186" i="4" s="1"/>
  <c r="B187" i="4" s="1"/>
  <c r="D187" i="4" s="1"/>
  <c r="G187" i="4" l="1"/>
  <c r="E187" i="4"/>
  <c r="H187" i="4" s="1"/>
  <c r="J187" i="4" s="1"/>
  <c r="C187" i="4" l="1"/>
  <c r="I187" i="4" s="1"/>
  <c r="B188" i="4" s="1"/>
  <c r="G188" i="4" s="1"/>
  <c r="D188" i="4" l="1"/>
  <c r="E188" i="4"/>
  <c r="C188" i="4" s="1"/>
  <c r="I188" i="4" s="1"/>
  <c r="B189" i="4" s="1"/>
  <c r="H188" i="4" l="1"/>
  <c r="J188" i="4" s="1"/>
  <c r="G189" i="4"/>
  <c r="D189" i="4"/>
  <c r="E189" i="4" l="1"/>
  <c r="C189" i="4" s="1"/>
  <c r="I189" i="4" s="1"/>
  <c r="B190" i="4" s="1"/>
  <c r="H189" i="4" l="1"/>
  <c r="J189" i="4" s="1"/>
  <c r="D190" i="4"/>
  <c r="G190" i="4"/>
  <c r="E190" i="4" l="1"/>
  <c r="H190" i="4" s="1"/>
  <c r="J190" i="4" s="1"/>
  <c r="C190" i="4" l="1"/>
  <c r="I190" i="4" s="1"/>
  <c r="B191" i="4" s="1"/>
  <c r="G191" i="4" s="1"/>
  <c r="D191" i="4" l="1"/>
  <c r="E191" i="4"/>
  <c r="H191" i="4" s="1"/>
  <c r="J191" i="4" s="1"/>
  <c r="C191" i="4" l="1"/>
  <c r="I191" i="4" s="1"/>
  <c r="B192" i="4" s="1"/>
  <c r="G192" i="4" s="1"/>
  <c r="D192" i="4" l="1"/>
  <c r="E192" i="4"/>
  <c r="H192" i="4" s="1"/>
  <c r="J192" i="4" s="1"/>
  <c r="C192" i="4" l="1"/>
  <c r="I192" i="4" s="1"/>
  <c r="B193" i="4" s="1"/>
  <c r="D193" i="4" s="1"/>
  <c r="G193" i="4"/>
  <c r="E193" i="4" l="1"/>
  <c r="H193" i="4" s="1"/>
  <c r="J193" i="4" s="1"/>
  <c r="C193" i="4" l="1"/>
  <c r="I193" i="4" s="1"/>
  <c r="B194" i="4" s="1"/>
  <c r="D194" i="4" s="1"/>
  <c r="G194" i="4" l="1"/>
  <c r="E194" i="4"/>
  <c r="H194" i="4" s="1"/>
  <c r="J194" i="4" s="1"/>
  <c r="C194" i="4" l="1"/>
  <c r="I194" i="4" s="1"/>
  <c r="B195" i="4" s="1"/>
  <c r="D195" i="4" s="1"/>
  <c r="G195" i="4" l="1"/>
  <c r="E195" i="4"/>
  <c r="H195" i="4" s="1"/>
  <c r="J195" i="4" s="1"/>
  <c r="C195" i="4" l="1"/>
  <c r="I195" i="4" s="1"/>
  <c r="B196" i="4" s="1"/>
  <c r="D196" i="4" s="1"/>
  <c r="G196" i="4" l="1"/>
  <c r="E196" i="4"/>
  <c r="H196" i="4" s="1"/>
  <c r="J196" i="4" s="1"/>
  <c r="C196" i="4" l="1"/>
  <c r="I196" i="4" s="1"/>
  <c r="B197" i="4" s="1"/>
  <c r="G197" i="4" s="1"/>
  <c r="D197" i="4" l="1"/>
  <c r="E197" i="4"/>
  <c r="H197" i="4" s="1"/>
  <c r="J197" i="4" s="1"/>
  <c r="C197" i="4" l="1"/>
  <c r="I197" i="4" s="1"/>
  <c r="B198" i="4" s="1"/>
  <c r="G198" i="4" s="1"/>
  <c r="D198" i="4" l="1"/>
  <c r="E198" i="4"/>
  <c r="H198" i="4" s="1"/>
  <c r="J198" i="4" s="1"/>
  <c r="C198" i="4" l="1"/>
  <c r="I198" i="4" s="1"/>
  <c r="B199" i="4" s="1"/>
  <c r="G199" i="4" s="1"/>
  <c r="D199" i="4" l="1"/>
  <c r="E199" i="4"/>
  <c r="H199" i="4" s="1"/>
  <c r="J199" i="4" s="1"/>
  <c r="C199" i="4" l="1"/>
  <c r="I199" i="4" s="1"/>
  <c r="B200" i="4" s="1"/>
  <c r="G200" i="4" s="1"/>
  <c r="D200" i="4" l="1"/>
  <c r="E200" i="4"/>
  <c r="H200" i="4" s="1"/>
  <c r="J200" i="4" s="1"/>
  <c r="C200" i="4" l="1"/>
  <c r="I200" i="4" s="1"/>
  <c r="B201" i="4" s="1"/>
  <c r="D201" i="4" s="1"/>
  <c r="G201" i="4" l="1"/>
  <c r="E201" i="4"/>
  <c r="H201" i="4" s="1"/>
  <c r="J201" i="4" s="1"/>
  <c r="C201" i="4" l="1"/>
  <c r="I201" i="4" s="1"/>
  <c r="B202" i="4" s="1"/>
  <c r="D202" i="4" s="1"/>
  <c r="G202" i="4" l="1"/>
  <c r="E202" i="4"/>
  <c r="H202" i="4" s="1"/>
  <c r="J202" i="4" s="1"/>
  <c r="C202" i="4" l="1"/>
  <c r="I202" i="4" s="1"/>
  <c r="B203" i="4" s="1"/>
  <c r="G203" i="4" s="1"/>
  <c r="D203" i="4" l="1"/>
  <c r="E203" i="4"/>
  <c r="H203" i="4" s="1"/>
  <c r="J203" i="4" s="1"/>
  <c r="C203" i="4" l="1"/>
  <c r="I203" i="4" s="1"/>
  <c r="B204" i="4" s="1"/>
  <c r="G204" i="4" s="1"/>
  <c r="D204" i="4" l="1"/>
  <c r="E204" i="4"/>
  <c r="H204" i="4" s="1"/>
  <c r="J204" i="4" s="1"/>
  <c r="C204" i="4" l="1"/>
  <c r="I204" i="4" s="1"/>
  <c r="B205" i="4" s="1"/>
  <c r="D205" i="4" s="1"/>
  <c r="G205" i="4" l="1"/>
  <c r="E205" i="4"/>
  <c r="H205" i="4" s="1"/>
  <c r="J205" i="4" s="1"/>
  <c r="C205" i="4" l="1"/>
  <c r="I205" i="4" s="1"/>
  <c r="B206" i="4" s="1"/>
  <c r="G206" i="4" s="1"/>
  <c r="D206" i="4" l="1"/>
  <c r="E206" i="4"/>
  <c r="H206" i="4" s="1"/>
  <c r="J206" i="4" s="1"/>
  <c r="C206" i="4" l="1"/>
  <c r="I206" i="4" s="1"/>
  <c r="B207" i="4" s="1"/>
  <c r="G207" i="4" s="1"/>
  <c r="D207" i="4" l="1"/>
  <c r="E207" i="4"/>
  <c r="H207" i="4" s="1"/>
  <c r="J207" i="4" s="1"/>
  <c r="C207" i="4" l="1"/>
  <c r="I207" i="4" s="1"/>
  <c r="B208" i="4" s="1"/>
  <c r="D208" i="4" s="1"/>
  <c r="G208" i="4" l="1"/>
  <c r="E208" i="4"/>
  <c r="H208" i="4" s="1"/>
  <c r="J208" i="4" s="1"/>
  <c r="C208" i="4" l="1"/>
  <c r="I208" i="4" s="1"/>
  <c r="B209" i="4" s="1"/>
  <c r="D209" i="4" s="1"/>
  <c r="G209" i="4" l="1"/>
  <c r="E209" i="4"/>
  <c r="H209" i="4" s="1"/>
  <c r="J209" i="4" s="1"/>
  <c r="C209" i="4" l="1"/>
  <c r="I209" i="4" s="1"/>
  <c r="B210" i="4" s="1"/>
  <c r="D210" i="4" s="1"/>
  <c r="G210" i="4" l="1"/>
  <c r="E210" i="4"/>
  <c r="H210" i="4" s="1"/>
  <c r="J210" i="4" s="1"/>
  <c r="C210" i="4" l="1"/>
  <c r="I210" i="4" s="1"/>
  <c r="B211" i="4" s="1"/>
  <c r="D211" i="4" s="1"/>
  <c r="G211" i="4" l="1"/>
  <c r="E211" i="4"/>
  <c r="H211" i="4" s="1"/>
  <c r="J211" i="4" s="1"/>
  <c r="C211" i="4" l="1"/>
  <c r="I211" i="4" s="1"/>
  <c r="B212" i="4" s="1"/>
  <c r="G212" i="4" s="1"/>
  <c r="D212" i="4" l="1"/>
  <c r="E212" i="4"/>
  <c r="H212" i="4" s="1"/>
  <c r="J212" i="4" s="1"/>
  <c r="C212" i="4" l="1"/>
  <c r="I212" i="4" s="1"/>
  <c r="B213" i="4" s="1"/>
  <c r="D213" i="4" s="1"/>
  <c r="G213" i="4" l="1"/>
  <c r="E213" i="4"/>
  <c r="H213" i="4" s="1"/>
  <c r="J213" i="4" s="1"/>
  <c r="C213" i="4" l="1"/>
  <c r="I213" i="4" s="1"/>
  <c r="B214" i="4" s="1"/>
  <c r="G214" i="4" s="1"/>
  <c r="D214" i="4" l="1"/>
  <c r="E214" i="4"/>
  <c r="H214" i="4" s="1"/>
  <c r="J214" i="4" s="1"/>
  <c r="C214" i="4" l="1"/>
  <c r="I214" i="4" s="1"/>
  <c r="B215" i="4" s="1"/>
  <c r="G215" i="4" s="1"/>
  <c r="D215" i="4" l="1"/>
  <c r="E215" i="4"/>
  <c r="H215" i="4" s="1"/>
  <c r="J215" i="4" s="1"/>
  <c r="C215" i="4" l="1"/>
  <c r="I215" i="4" s="1"/>
  <c r="B216" i="4" s="1"/>
  <c r="D216" i="4" s="1"/>
  <c r="G216" i="4" l="1"/>
  <c r="E216" i="4"/>
  <c r="H216" i="4" s="1"/>
  <c r="J216" i="4" s="1"/>
  <c r="C216" i="4" l="1"/>
  <c r="I216" i="4" s="1"/>
  <c r="B217" i="4" s="1"/>
  <c r="G217" i="4" s="1"/>
  <c r="D217" i="4" l="1"/>
  <c r="E217" i="4"/>
  <c r="H217" i="4" s="1"/>
  <c r="J217" i="4" s="1"/>
  <c r="C217" i="4" l="1"/>
  <c r="I217" i="4" s="1"/>
  <c r="B218" i="4" s="1"/>
  <c r="G218" i="4" s="1"/>
  <c r="D218" i="4" l="1"/>
  <c r="E218" i="4"/>
  <c r="H218" i="4" s="1"/>
  <c r="J218" i="4" s="1"/>
  <c r="C218" i="4" l="1"/>
  <c r="I218" i="4" s="1"/>
  <c r="B219" i="4" s="1"/>
  <c r="G219" i="4" s="1"/>
  <c r="D219" i="4" l="1"/>
  <c r="E219" i="4"/>
  <c r="H219" i="4" s="1"/>
  <c r="J219" i="4" s="1"/>
  <c r="C219" i="4" l="1"/>
  <c r="I219" i="4" s="1"/>
  <c r="B220" i="4" s="1"/>
  <c r="G220" i="4" s="1"/>
  <c r="D220" i="4" l="1"/>
  <c r="E220" i="4"/>
  <c r="H220" i="4" s="1"/>
  <c r="J220" i="4" s="1"/>
  <c r="C220" i="4" l="1"/>
  <c r="I220" i="4" s="1"/>
  <c r="B221" i="4" s="1"/>
  <c r="G221" i="4" s="1"/>
  <c r="D221" i="4" l="1"/>
  <c r="E221" i="4"/>
  <c r="H221" i="4" s="1"/>
  <c r="J221" i="4" s="1"/>
  <c r="C221" i="4" l="1"/>
  <c r="I221" i="4" s="1"/>
  <c r="B222" i="4" s="1"/>
  <c r="D222" i="4" s="1"/>
  <c r="G222" i="4" l="1"/>
  <c r="E222" i="4"/>
  <c r="H222" i="4" s="1"/>
  <c r="J222" i="4" s="1"/>
  <c r="C222" i="4" l="1"/>
  <c r="I222" i="4" s="1"/>
  <c r="B223" i="4" s="1"/>
  <c r="G223" i="4" s="1"/>
  <c r="D223" i="4" l="1"/>
  <c r="E223" i="4"/>
  <c r="H223" i="4" s="1"/>
  <c r="C223" i="4" l="1"/>
  <c r="I223" i="4" s="1"/>
  <c r="B224" i="4" s="1"/>
  <c r="G224" i="4" s="1"/>
  <c r="J223" i="4"/>
  <c r="D224" i="4" l="1"/>
  <c r="E224" i="4"/>
  <c r="H224" i="4" s="1"/>
  <c r="C224" i="4" l="1"/>
  <c r="I224" i="4" s="1"/>
  <c r="B225" i="4" s="1"/>
  <c r="D225" i="4" s="1"/>
  <c r="J224" i="4"/>
  <c r="G225" i="4" l="1"/>
  <c r="E225" i="4"/>
  <c r="H225" i="4" s="1"/>
  <c r="C225" i="4" l="1"/>
  <c r="I225" i="4" s="1"/>
  <c r="B226" i="4" s="1"/>
  <c r="G226" i="4" s="1"/>
  <c r="J225" i="4"/>
  <c r="D226" i="4" l="1"/>
  <c r="E226" i="4"/>
  <c r="H226" i="4" s="1"/>
  <c r="C226" i="4" l="1"/>
  <c r="I226" i="4" s="1"/>
  <c r="B227" i="4" s="1"/>
  <c r="D227" i="4" s="1"/>
  <c r="J226" i="4"/>
  <c r="G227" i="4" l="1"/>
  <c r="E227" i="4"/>
  <c r="H227" i="4" s="1"/>
  <c r="C227" i="4" l="1"/>
  <c r="I227" i="4" s="1"/>
  <c r="B228" i="4" s="1"/>
  <c r="D228" i="4" s="1"/>
  <c r="J227" i="4"/>
  <c r="G228" i="4" l="1"/>
  <c r="E228" i="4"/>
  <c r="C228" i="4" s="1"/>
  <c r="I228" i="4" s="1"/>
  <c r="B229" i="4" s="1"/>
  <c r="H228" i="4" l="1"/>
  <c r="J228" i="4" s="1"/>
  <c r="G229" i="4"/>
  <c r="D229" i="4"/>
  <c r="E229" i="4" l="1"/>
  <c r="H229" i="4" s="1"/>
  <c r="J229" i="4" s="1"/>
  <c r="C229" i="4" l="1"/>
  <c r="I229" i="4" s="1"/>
  <c r="B230" i="4" s="1"/>
  <c r="D230" i="4" s="1"/>
  <c r="G230" i="4" l="1"/>
  <c r="E230" i="4"/>
  <c r="H230" i="4" s="1"/>
  <c r="J230" i="4" s="1"/>
  <c r="C230" i="4" l="1"/>
  <c r="I230" i="4" s="1"/>
  <c r="B231" i="4" s="1"/>
  <c r="G231" i="4" s="1"/>
  <c r="D231" i="4" l="1"/>
  <c r="E231" i="4"/>
  <c r="H231" i="4" s="1"/>
  <c r="J231" i="4" s="1"/>
  <c r="C231" i="4" l="1"/>
  <c r="I231" i="4" s="1"/>
  <c r="B232" i="4" s="1"/>
  <c r="D232" i="4" s="1"/>
  <c r="G232" i="4" l="1"/>
  <c r="E232" i="4"/>
  <c r="H232" i="4" s="1"/>
  <c r="J232" i="4" s="1"/>
  <c r="C232" i="4" l="1"/>
  <c r="I232" i="4" s="1"/>
  <c r="B233" i="4" s="1"/>
  <c r="D233" i="4" s="1"/>
  <c r="G233" i="4" l="1"/>
  <c r="E233" i="4"/>
  <c r="H233" i="4" s="1"/>
  <c r="J233" i="4" s="1"/>
  <c r="C233" i="4" l="1"/>
  <c r="I233" i="4" s="1"/>
  <c r="B234" i="4" s="1"/>
  <c r="G234" i="4" s="1"/>
  <c r="D234" i="4" l="1"/>
  <c r="E234" i="4"/>
  <c r="H234" i="4" s="1"/>
  <c r="J234" i="4" s="1"/>
  <c r="C234" i="4" l="1"/>
  <c r="I234" i="4" s="1"/>
  <c r="B235" i="4" s="1"/>
  <c r="D235" i="4" s="1"/>
  <c r="G235" i="4" l="1"/>
  <c r="E235" i="4"/>
  <c r="H235" i="4" s="1"/>
  <c r="J235" i="4" s="1"/>
  <c r="C235" i="4" l="1"/>
  <c r="I235" i="4" s="1"/>
  <c r="B236" i="4" s="1"/>
  <c r="D236" i="4" s="1"/>
  <c r="G236" i="4" l="1"/>
  <c r="E236" i="4"/>
  <c r="H236" i="4" s="1"/>
  <c r="J236" i="4" s="1"/>
  <c r="C236" i="4" l="1"/>
  <c r="I236" i="4" s="1"/>
  <c r="B237" i="4" s="1"/>
  <c r="G237" i="4" s="1"/>
  <c r="D237" i="4" l="1"/>
  <c r="E237" i="4"/>
  <c r="H237" i="4" s="1"/>
  <c r="J237" i="4" s="1"/>
  <c r="C237" i="4" l="1"/>
  <c r="I237" i="4" s="1"/>
  <c r="B238" i="4" s="1"/>
  <c r="G238" i="4" s="1"/>
  <c r="D238" i="4" l="1"/>
  <c r="E238" i="4"/>
  <c r="H238" i="4" s="1"/>
  <c r="J238" i="4" s="1"/>
  <c r="C238" i="4" l="1"/>
  <c r="I238" i="4" s="1"/>
  <c r="B239" i="4" s="1"/>
  <c r="D239" i="4" s="1"/>
  <c r="G239" i="4" l="1"/>
  <c r="E239" i="4"/>
  <c r="H239" i="4" s="1"/>
  <c r="J239" i="4" s="1"/>
  <c r="C239" i="4" l="1"/>
  <c r="I239" i="4" s="1"/>
  <c r="B240" i="4" s="1"/>
  <c r="D240" i="4" s="1"/>
  <c r="G240" i="4" l="1"/>
  <c r="E240" i="4"/>
  <c r="H240" i="4" s="1"/>
  <c r="J240" i="4" s="1"/>
  <c r="C240" i="4" l="1"/>
  <c r="I240" i="4" s="1"/>
  <c r="B241" i="4" s="1"/>
  <c r="G241" i="4" s="1"/>
  <c r="D241" i="4" l="1"/>
  <c r="E241" i="4"/>
  <c r="H241" i="4" s="1"/>
  <c r="J241" i="4" s="1"/>
  <c r="C241" i="4" l="1"/>
  <c r="I241" i="4" s="1"/>
  <c r="B242" i="4" s="1"/>
  <c r="D242" i="4" s="1"/>
  <c r="G242" i="4" l="1"/>
  <c r="E242" i="4"/>
  <c r="H242" i="4" s="1"/>
  <c r="J242" i="4" s="1"/>
  <c r="C242" i="4" l="1"/>
  <c r="I242" i="4" s="1"/>
  <c r="B243" i="4" s="1"/>
  <c r="D243" i="4" s="1"/>
  <c r="G243" i="4" l="1"/>
  <c r="E243" i="4"/>
  <c r="H243" i="4" s="1"/>
  <c r="J243" i="4" s="1"/>
  <c r="C243" i="4" l="1"/>
  <c r="I243" i="4" s="1"/>
  <c r="B244" i="4" s="1"/>
  <c r="D244" i="4" s="1"/>
  <c r="G244" i="4" l="1"/>
  <c r="E244" i="4"/>
  <c r="H244" i="4" s="1"/>
  <c r="J244" i="4" s="1"/>
  <c r="C244" i="4" l="1"/>
  <c r="I244" i="4" s="1"/>
  <c r="B245" i="4" s="1"/>
  <c r="G245" i="4" s="1"/>
  <c r="D245" i="4" l="1"/>
  <c r="E245" i="4"/>
  <c r="H245" i="4" s="1"/>
  <c r="J245" i="4" s="1"/>
  <c r="C245" i="4" l="1"/>
  <c r="I245" i="4" s="1"/>
  <c r="B246" i="4" s="1"/>
  <c r="G246" i="4" s="1"/>
  <c r="D246" i="4" l="1"/>
  <c r="E246" i="4"/>
  <c r="H246" i="4" s="1"/>
  <c r="J246" i="4" s="1"/>
  <c r="C246" i="4" l="1"/>
  <c r="I246" i="4" s="1"/>
  <c r="B247" i="4" s="1"/>
  <c r="D247" i="4" s="1"/>
  <c r="G247" i="4" l="1"/>
  <c r="E247" i="4"/>
  <c r="H247" i="4" s="1"/>
  <c r="J247" i="4" s="1"/>
  <c r="C247" i="4" l="1"/>
  <c r="I247" i="4" s="1"/>
  <c r="B248" i="4" s="1"/>
  <c r="G248" i="4" s="1"/>
  <c r="D248" i="4" l="1"/>
  <c r="E248" i="4"/>
  <c r="H248" i="4" s="1"/>
  <c r="J248" i="4" s="1"/>
  <c r="C248" i="4" l="1"/>
  <c r="I248" i="4" s="1"/>
  <c r="B249" i="4" s="1"/>
  <c r="G249" i="4" s="1"/>
  <c r="D249" i="4" l="1"/>
  <c r="E249" i="4"/>
  <c r="H249" i="4" s="1"/>
  <c r="J249" i="4" s="1"/>
  <c r="C249" i="4" l="1"/>
  <c r="I249" i="4" s="1"/>
  <c r="B250" i="4" s="1"/>
  <c r="D250" i="4" s="1"/>
  <c r="G250" i="4" l="1"/>
  <c r="E250" i="4"/>
  <c r="H250" i="4" s="1"/>
  <c r="J250" i="4" s="1"/>
  <c r="C250" i="4" l="1"/>
  <c r="I250" i="4" s="1"/>
  <c r="B251" i="4" s="1"/>
  <c r="D251" i="4" s="1"/>
  <c r="G251" i="4" l="1"/>
  <c r="E251" i="4"/>
  <c r="H251" i="4" s="1"/>
  <c r="J251" i="4" s="1"/>
  <c r="C251" i="4" l="1"/>
  <c r="I251" i="4" s="1"/>
  <c r="B252" i="4" s="1"/>
  <c r="G252" i="4" s="1"/>
  <c r="D252" i="4" l="1"/>
  <c r="E252" i="4"/>
  <c r="H252" i="4" s="1"/>
  <c r="J252" i="4" s="1"/>
  <c r="C252" i="4" l="1"/>
  <c r="I252" i="4" s="1"/>
  <c r="B253" i="4" s="1"/>
  <c r="D253" i="4" s="1"/>
  <c r="G253" i="4" l="1"/>
  <c r="E253" i="4"/>
  <c r="H253" i="4" s="1"/>
  <c r="J253" i="4" s="1"/>
  <c r="C253" i="4" l="1"/>
  <c r="I253" i="4" s="1"/>
  <c r="B254" i="4" s="1"/>
  <c r="D254" i="4" s="1"/>
  <c r="G254" i="4" l="1"/>
  <c r="E254" i="4"/>
  <c r="H254" i="4" s="1"/>
  <c r="J254" i="4" s="1"/>
  <c r="C254" i="4" l="1"/>
  <c r="I254" i="4" s="1"/>
  <c r="B255" i="4" s="1"/>
  <c r="D255" i="4" s="1"/>
  <c r="G255" i="4" l="1"/>
  <c r="E255" i="4"/>
  <c r="H255" i="4" s="1"/>
  <c r="J255" i="4" s="1"/>
  <c r="C255" i="4" l="1"/>
  <c r="I255" i="4" s="1"/>
  <c r="B256" i="4" s="1"/>
  <c r="G256" i="4"/>
  <c r="D256" i="4"/>
  <c r="E256" i="4" l="1"/>
  <c r="H256" i="4" s="1"/>
  <c r="J256" i="4" s="1"/>
  <c r="C256" i="4" l="1"/>
  <c r="I256" i="4" s="1"/>
  <c r="B257" i="4" s="1"/>
  <c r="G257" i="4" s="1"/>
  <c r="D257" i="4" l="1"/>
  <c r="E257" i="4"/>
  <c r="C257" i="4" s="1"/>
  <c r="I257" i="4" s="1"/>
  <c r="B258" i="4" s="1"/>
  <c r="H257" i="4" l="1"/>
  <c r="J257" i="4" s="1"/>
  <c r="G258" i="4"/>
  <c r="D258" i="4"/>
  <c r="E258" i="4" l="1"/>
  <c r="H258" i="4" s="1"/>
  <c r="J258" i="4" s="1"/>
  <c r="C258" i="4" l="1"/>
  <c r="I258" i="4" s="1"/>
  <c r="B259" i="4" s="1"/>
  <c r="D259" i="4" s="1"/>
  <c r="G259" i="4" l="1"/>
  <c r="E259" i="4"/>
  <c r="H259" i="4" s="1"/>
  <c r="J259" i="4" s="1"/>
  <c r="C259" i="4" l="1"/>
  <c r="I259" i="4" s="1"/>
  <c r="B260" i="4" s="1"/>
  <c r="G260" i="4" s="1"/>
  <c r="D260" i="4" l="1"/>
  <c r="E260" i="4"/>
  <c r="H260" i="4" s="1"/>
  <c r="J260" i="4" s="1"/>
  <c r="C260" i="4" l="1"/>
  <c r="I260" i="4" s="1"/>
  <c r="B261" i="4" s="1"/>
  <c r="G261" i="4" s="1"/>
  <c r="D261" i="4" l="1"/>
  <c r="E261" i="4"/>
  <c r="H261" i="4" s="1"/>
  <c r="J261" i="4" s="1"/>
  <c r="C261" i="4" l="1"/>
  <c r="I261" i="4" s="1"/>
  <c r="B262" i="4" s="1"/>
  <c r="G262" i="4" s="1"/>
  <c r="D262" i="4" l="1"/>
  <c r="E262" i="4"/>
  <c r="H262" i="4" s="1"/>
  <c r="J262" i="4" s="1"/>
  <c r="C262" i="4" l="1"/>
  <c r="I262" i="4" s="1"/>
  <c r="B263" i="4" s="1"/>
  <c r="D263" i="4" s="1"/>
  <c r="G263" i="4" l="1"/>
  <c r="E263" i="4"/>
  <c r="H263" i="4" s="1"/>
  <c r="J263" i="4" s="1"/>
  <c r="C263" i="4" l="1"/>
  <c r="I263" i="4" s="1"/>
  <c r="B264" i="4" s="1"/>
  <c r="D264" i="4" s="1"/>
  <c r="G264" i="4" l="1"/>
  <c r="E264" i="4"/>
  <c r="H264" i="4" s="1"/>
  <c r="J264" i="4" s="1"/>
  <c r="C264" i="4" l="1"/>
  <c r="I264" i="4" s="1"/>
  <c r="B265" i="4" s="1"/>
  <c r="G265" i="4" s="1"/>
  <c r="D265" i="4" l="1"/>
  <c r="E265" i="4"/>
  <c r="H265" i="4" s="1"/>
  <c r="J265" i="4" s="1"/>
  <c r="C265" i="4" l="1"/>
  <c r="I265" i="4" s="1"/>
  <c r="B266" i="4" s="1"/>
  <c r="G266" i="4" s="1"/>
  <c r="D266" i="4" l="1"/>
  <c r="E266" i="4"/>
  <c r="C266" i="4" s="1"/>
  <c r="I266" i="4" s="1"/>
  <c r="B267" i="4" s="1"/>
  <c r="H266" i="4" l="1"/>
  <c r="J266" i="4" s="1"/>
  <c r="D267" i="4"/>
  <c r="G267" i="4"/>
  <c r="E267" i="4" l="1"/>
  <c r="H267" i="4" s="1"/>
  <c r="J267" i="4" s="1"/>
  <c r="C267" i="4" l="1"/>
  <c r="I267" i="4" s="1"/>
  <c r="B268" i="4" s="1"/>
  <c r="G268" i="4" s="1"/>
  <c r="D268" i="4" l="1"/>
  <c r="E268" i="4"/>
  <c r="H268" i="4" s="1"/>
  <c r="J268" i="4" s="1"/>
  <c r="C268" i="4" l="1"/>
  <c r="I268" i="4" s="1"/>
  <c r="B269" i="4" s="1"/>
  <c r="G269" i="4" s="1"/>
  <c r="D269" i="4" l="1"/>
  <c r="E269" i="4"/>
  <c r="H269" i="4" s="1"/>
  <c r="J269" i="4" s="1"/>
  <c r="C269" i="4" l="1"/>
  <c r="I269" i="4" s="1"/>
  <c r="B270" i="4" s="1"/>
  <c r="D270" i="4" s="1"/>
  <c r="G270" i="4" l="1"/>
  <c r="E270" i="4"/>
  <c r="H270" i="4" s="1"/>
  <c r="J270" i="4" s="1"/>
  <c r="C270" i="4" l="1"/>
  <c r="I270" i="4" s="1"/>
  <c r="B271" i="4" s="1"/>
  <c r="D271" i="4" s="1"/>
  <c r="G271" i="4" l="1"/>
  <c r="E271" i="4"/>
  <c r="H271" i="4" s="1"/>
  <c r="J271" i="4" s="1"/>
  <c r="C271" i="4" l="1"/>
  <c r="I271" i="4" s="1"/>
  <c r="B272" i="4" s="1"/>
  <c r="G272" i="4" s="1"/>
  <c r="D272" i="4" l="1"/>
  <c r="E272" i="4"/>
  <c r="H272" i="4" s="1"/>
  <c r="J272" i="4" s="1"/>
  <c r="C272" i="4" l="1"/>
  <c r="I272" i="4" s="1"/>
  <c r="B273" i="4" s="1"/>
  <c r="G273" i="4" s="1"/>
  <c r="D273" i="4" l="1"/>
  <c r="E273" i="4"/>
  <c r="H273" i="4" s="1"/>
  <c r="J273" i="4" s="1"/>
  <c r="C273" i="4" l="1"/>
  <c r="I273" i="4" s="1"/>
  <c r="B274" i="4" s="1"/>
  <c r="G274" i="4" s="1"/>
  <c r="D274" i="4"/>
  <c r="E274" i="4" l="1"/>
  <c r="H274" i="4" s="1"/>
  <c r="J274" i="4" s="1"/>
  <c r="C274" i="4" l="1"/>
  <c r="I274" i="4" s="1"/>
  <c r="B275" i="4" s="1"/>
  <c r="G275" i="4" s="1"/>
  <c r="D275" i="4" l="1"/>
  <c r="E275" i="4"/>
  <c r="H275" i="4" s="1"/>
  <c r="J275" i="4" s="1"/>
  <c r="C275" i="4" l="1"/>
  <c r="I275" i="4" s="1"/>
  <c r="B276" i="4" s="1"/>
  <c r="D276" i="4" s="1"/>
  <c r="G276" i="4" l="1"/>
  <c r="C276" i="4"/>
  <c r="I276" i="4" s="1"/>
  <c r="B277" i="4" s="1"/>
  <c r="E276" i="4"/>
  <c r="H276" i="4" s="1"/>
  <c r="J276" i="4" s="1"/>
  <c r="D277" i="4" l="1"/>
  <c r="G277" i="4"/>
  <c r="E277" i="4" l="1"/>
  <c r="H277" i="4" s="1"/>
  <c r="J277" i="4" s="1"/>
  <c r="C277" i="4" l="1"/>
  <c r="I277" i="4" s="1"/>
  <c r="B278" i="4" s="1"/>
  <c r="D278" i="4" s="1"/>
  <c r="G278" i="4" l="1"/>
  <c r="E278" i="4"/>
  <c r="H278" i="4" s="1"/>
  <c r="J278" i="4" s="1"/>
  <c r="C278" i="4" l="1"/>
  <c r="I278" i="4" s="1"/>
  <c r="B279" i="4" s="1"/>
  <c r="G279" i="4" s="1"/>
  <c r="D279" i="4" l="1"/>
  <c r="E279" i="4"/>
  <c r="H279" i="4" s="1"/>
  <c r="J279" i="4" s="1"/>
  <c r="C279" i="4" l="1"/>
  <c r="I279" i="4" s="1"/>
  <c r="B280" i="4" s="1"/>
  <c r="D280" i="4" s="1"/>
  <c r="G280" i="4" l="1"/>
  <c r="C280" i="4"/>
  <c r="I280" i="4" s="1"/>
  <c r="B281" i="4" s="1"/>
  <c r="E280" i="4"/>
  <c r="H280" i="4" s="1"/>
  <c r="J280" i="4" s="1"/>
  <c r="G281" i="4" l="1"/>
  <c r="D281" i="4"/>
  <c r="E281" i="4" l="1"/>
  <c r="H281" i="4" s="1"/>
  <c r="J281" i="4" s="1"/>
  <c r="C281" i="4" l="1"/>
  <c r="I281" i="4" s="1"/>
  <c r="B282" i="4" s="1"/>
  <c r="G282" i="4" s="1"/>
  <c r="D282" i="4"/>
  <c r="E282" i="4" l="1"/>
  <c r="H282" i="4" s="1"/>
  <c r="J282" i="4" s="1"/>
  <c r="C282" i="4" l="1"/>
  <c r="I282" i="4" s="1"/>
  <c r="B283" i="4" s="1"/>
  <c r="G283" i="4" s="1"/>
  <c r="D283" i="4" l="1"/>
  <c r="E283" i="4"/>
  <c r="H283" i="4" s="1"/>
  <c r="J283" i="4" s="1"/>
  <c r="C283" i="4" l="1"/>
  <c r="I283" i="4" s="1"/>
  <c r="B284" i="4" s="1"/>
  <c r="G284" i="4" s="1"/>
  <c r="D284" i="4"/>
  <c r="E284" i="4" l="1"/>
  <c r="H284" i="4" s="1"/>
  <c r="J284" i="4" s="1"/>
  <c r="C284" i="4" l="1"/>
  <c r="I284" i="4" s="1"/>
  <c r="B285" i="4" s="1"/>
  <c r="G285" i="4" s="1"/>
  <c r="D285" i="4" l="1"/>
  <c r="E285" i="4"/>
  <c r="H285" i="4" s="1"/>
  <c r="J285" i="4" s="1"/>
  <c r="C285" i="4" l="1"/>
  <c r="I285" i="4" s="1"/>
  <c r="B286" i="4" s="1"/>
  <c r="G286" i="4" s="1"/>
  <c r="D286" i="4" l="1"/>
  <c r="E286" i="4"/>
  <c r="H286" i="4" s="1"/>
  <c r="J286" i="4" s="1"/>
  <c r="C286" i="4" l="1"/>
  <c r="I286" i="4" s="1"/>
  <c r="B287" i="4" s="1"/>
  <c r="G287" i="4" s="1"/>
  <c r="D287" i="4" l="1"/>
  <c r="E287" i="4"/>
  <c r="H287" i="4" s="1"/>
  <c r="J287" i="4" s="1"/>
  <c r="C287" i="4" l="1"/>
  <c r="I287" i="4" s="1"/>
  <c r="B288" i="4" s="1"/>
  <c r="G288" i="4" s="1"/>
  <c r="D288" i="4" l="1"/>
  <c r="E288" i="4"/>
  <c r="H288" i="4" s="1"/>
  <c r="J288" i="4" s="1"/>
  <c r="C288" i="4" l="1"/>
  <c r="I288" i="4" s="1"/>
  <c r="B289" i="4" s="1"/>
  <c r="G289" i="4" s="1"/>
  <c r="D289" i="4" l="1"/>
  <c r="E289" i="4"/>
  <c r="H289" i="4" s="1"/>
  <c r="J289" i="4" s="1"/>
  <c r="C289" i="4" l="1"/>
  <c r="I289" i="4" s="1"/>
  <c r="B290" i="4" s="1"/>
  <c r="G290" i="4" s="1"/>
  <c r="D290" i="4" l="1"/>
  <c r="E290" i="4"/>
  <c r="H290" i="4" s="1"/>
  <c r="J290" i="4" s="1"/>
  <c r="C290" i="4" l="1"/>
  <c r="I290" i="4" s="1"/>
  <c r="B291" i="4" s="1"/>
  <c r="D291" i="4" s="1"/>
  <c r="G291" i="4" l="1"/>
  <c r="E291" i="4"/>
  <c r="H291" i="4" s="1"/>
  <c r="J291" i="4" s="1"/>
  <c r="C291" i="4" l="1"/>
  <c r="I291" i="4" s="1"/>
  <c r="B292" i="4" s="1"/>
  <c r="D292" i="4" s="1"/>
  <c r="G292" i="4" l="1"/>
  <c r="E292" i="4"/>
  <c r="H292" i="4" s="1"/>
  <c r="J292" i="4" s="1"/>
  <c r="C292" i="4" l="1"/>
  <c r="I292" i="4" s="1"/>
  <c r="B293" i="4" s="1"/>
  <c r="G293" i="4" s="1"/>
  <c r="D293" i="4" l="1"/>
  <c r="E293" i="4"/>
  <c r="H293" i="4" s="1"/>
  <c r="J293" i="4" s="1"/>
  <c r="C293" i="4" l="1"/>
  <c r="I293" i="4" s="1"/>
  <c r="B294" i="4" s="1"/>
  <c r="G294" i="4" s="1"/>
  <c r="D294" i="4" l="1"/>
  <c r="E294" i="4"/>
  <c r="H294" i="4" s="1"/>
  <c r="J294" i="4" s="1"/>
  <c r="C294" i="4" l="1"/>
  <c r="I294" i="4" s="1"/>
  <c r="B295" i="4" s="1"/>
  <c r="G295" i="4" s="1"/>
  <c r="D295" i="4" l="1"/>
  <c r="E295" i="4"/>
  <c r="H295" i="4" s="1"/>
  <c r="J295" i="4" s="1"/>
  <c r="C295" i="4" l="1"/>
  <c r="I295" i="4" s="1"/>
  <c r="B296" i="4" s="1"/>
  <c r="G296" i="4" s="1"/>
  <c r="D296" i="4" l="1"/>
  <c r="E296" i="4"/>
  <c r="H296" i="4" s="1"/>
  <c r="J296" i="4" s="1"/>
  <c r="C296" i="4" l="1"/>
  <c r="I296" i="4" s="1"/>
  <c r="B297" i="4" s="1"/>
  <c r="D297" i="4" s="1"/>
  <c r="G297" i="4" l="1"/>
  <c r="C297" i="4"/>
  <c r="I297" i="4" s="1"/>
  <c r="B298" i="4" s="1"/>
  <c r="E297" i="4"/>
  <c r="H297" i="4" s="1"/>
  <c r="J297" i="4" s="1"/>
  <c r="G298" i="4" l="1"/>
  <c r="D298" i="4"/>
  <c r="E298" i="4" l="1"/>
  <c r="H298" i="4" s="1"/>
  <c r="J298" i="4" s="1"/>
  <c r="C298" i="4" l="1"/>
  <c r="I298" i="4" s="1"/>
  <c r="B299" i="4" s="1"/>
  <c r="G299" i="4" s="1"/>
  <c r="D299" i="4" l="1"/>
  <c r="E299" i="4"/>
  <c r="H299" i="4" s="1"/>
  <c r="J299" i="4" s="1"/>
  <c r="C299" i="4" l="1"/>
  <c r="I299" i="4" s="1"/>
  <c r="B300" i="4" s="1"/>
  <c r="G300" i="4" s="1"/>
  <c r="D300" i="4" l="1"/>
  <c r="E300" i="4"/>
  <c r="H300" i="4" s="1"/>
  <c r="J300" i="4" s="1"/>
  <c r="C300" i="4" l="1"/>
  <c r="I300" i="4" s="1"/>
  <c r="B301" i="4" s="1"/>
  <c r="G301" i="4" s="1"/>
  <c r="D301" i="4" l="1"/>
  <c r="E301" i="4"/>
  <c r="H301" i="4" s="1"/>
  <c r="J301" i="4" s="1"/>
  <c r="C301" i="4" l="1"/>
  <c r="I301" i="4" s="1"/>
  <c r="B302" i="4" s="1"/>
  <c r="D302" i="4" s="1"/>
  <c r="G302" i="4"/>
  <c r="E302" i="4" l="1"/>
  <c r="H302" i="4" s="1"/>
  <c r="J302" i="4" s="1"/>
  <c r="C302" i="4" l="1"/>
  <c r="I302" i="4" s="1"/>
  <c r="B303" i="4" s="1"/>
  <c r="G303" i="4" s="1"/>
  <c r="D303" i="4" l="1"/>
  <c r="E303" i="4"/>
  <c r="H303" i="4" s="1"/>
  <c r="J303" i="4" s="1"/>
  <c r="C303" i="4" l="1"/>
  <c r="I303" i="4" s="1"/>
  <c r="B304" i="4" s="1"/>
  <c r="G304" i="4" s="1"/>
  <c r="D304" i="4" l="1"/>
  <c r="E304" i="4"/>
  <c r="H304" i="4" s="1"/>
  <c r="J304" i="4" s="1"/>
  <c r="C304" i="4" l="1"/>
  <c r="I304" i="4" s="1"/>
  <c r="B305" i="4" s="1"/>
  <c r="D305" i="4" s="1"/>
  <c r="G305" i="4" l="1"/>
  <c r="E305" i="4"/>
  <c r="H305" i="4" s="1"/>
  <c r="J305" i="4" s="1"/>
  <c r="C305" i="4" l="1"/>
  <c r="I305" i="4" s="1"/>
  <c r="B306" i="4" s="1"/>
  <c r="D306" i="4" s="1"/>
  <c r="G306" i="4" l="1"/>
  <c r="E306" i="4"/>
  <c r="H306" i="4" s="1"/>
  <c r="J306" i="4" s="1"/>
  <c r="C306" i="4" l="1"/>
  <c r="I306" i="4" s="1"/>
  <c r="B307" i="4" s="1"/>
  <c r="G307" i="4" s="1"/>
  <c r="D307" i="4" l="1"/>
  <c r="E307" i="4"/>
  <c r="H307" i="4" s="1"/>
  <c r="C307" i="4" l="1"/>
  <c r="I307" i="4" s="1"/>
  <c r="B308" i="4" s="1"/>
  <c r="G308" i="4" s="1"/>
  <c r="J307" i="4"/>
  <c r="G16" i="5"/>
  <c r="D308" i="4"/>
  <c r="E308" i="4" l="1"/>
  <c r="H308" i="4" s="1"/>
  <c r="J16" i="5"/>
  <c r="C308" i="4" l="1"/>
  <c r="I308" i="4" s="1"/>
  <c r="B309" i="4" s="1"/>
  <c r="J308" i="4"/>
  <c r="G17" i="5"/>
  <c r="D309" i="4"/>
  <c r="G309" i="4"/>
  <c r="E309" i="4" l="1"/>
  <c r="H309" i="4" s="1"/>
  <c r="J17" i="5"/>
  <c r="C309" i="4" l="1"/>
  <c r="I309" i="4" s="1"/>
  <c r="B310" i="4" s="1"/>
  <c r="D310" i="4" s="1"/>
  <c r="J309" i="4"/>
  <c r="G18" i="5"/>
  <c r="G310" i="4" l="1"/>
  <c r="E310" i="4"/>
  <c r="J18" i="5"/>
  <c r="H310" i="4" l="1"/>
  <c r="C310" i="4"/>
  <c r="I310" i="4" s="1"/>
  <c r="B311" i="4" s="1"/>
  <c r="G311" i="4" s="1"/>
  <c r="J310" i="4"/>
  <c r="G19" i="5"/>
  <c r="D311" i="4" l="1"/>
  <c r="E311" i="4"/>
  <c r="H311" i="4" s="1"/>
  <c r="J19" i="5"/>
  <c r="C311" i="4" l="1"/>
  <c r="I311" i="4" s="1"/>
  <c r="B312" i="4" s="1"/>
  <c r="D312" i="4" s="1"/>
  <c r="J311" i="4"/>
  <c r="G20" i="5"/>
  <c r="G312" i="4" l="1"/>
  <c r="C312" i="4"/>
  <c r="I312" i="4" s="1"/>
  <c r="B313" i="4" s="1"/>
  <c r="E312" i="4"/>
  <c r="H312" i="4" s="1"/>
  <c r="J20" i="5"/>
  <c r="G21" i="5" l="1"/>
  <c r="J21" i="5" s="1"/>
  <c r="J312" i="4"/>
  <c r="D313" i="4"/>
  <c r="G313" i="4"/>
  <c r="C313" i="4" l="1"/>
  <c r="I313" i="4" s="1"/>
  <c r="B314" i="4" s="1"/>
  <c r="E313" i="4"/>
  <c r="H313" i="4" s="1"/>
  <c r="J313" i="4" l="1"/>
  <c r="G22" i="5"/>
  <c r="J22" i="5" s="1"/>
  <c r="G314" i="4"/>
  <c r="D314" i="4"/>
  <c r="E314" i="4" l="1"/>
  <c r="H314" i="4" s="1"/>
  <c r="C314" i="4" l="1"/>
  <c r="I314" i="4" s="1"/>
  <c r="B315" i="4" s="1"/>
  <c r="G315" i="4" s="1"/>
  <c r="J314" i="4"/>
  <c r="G23" i="5"/>
  <c r="J23" i="5" s="1"/>
  <c r="D315" i="4"/>
  <c r="E315" i="4" l="1"/>
  <c r="H315" i="4" s="1"/>
  <c r="C315" i="4" l="1"/>
  <c r="I315" i="4" s="1"/>
  <c r="B316" i="4" s="1"/>
  <c r="D316" i="4" s="1"/>
  <c r="J315" i="4"/>
  <c r="G24" i="5"/>
  <c r="J24" i="5" s="1"/>
  <c r="G316" i="4" l="1"/>
  <c r="E316" i="4"/>
  <c r="H316" i="4" s="1"/>
  <c r="C316" i="4" l="1"/>
  <c r="I316" i="4" s="1"/>
  <c r="B317" i="4" s="1"/>
  <c r="G317" i="4" s="1"/>
  <c r="G25" i="5"/>
  <c r="J25" i="5" s="1"/>
  <c r="J316" i="4"/>
  <c r="D317" i="4" l="1"/>
  <c r="E317" i="4"/>
  <c r="H317" i="4" s="1"/>
  <c r="C317" i="4" l="1"/>
  <c r="I317" i="4" s="1"/>
  <c r="B318" i="4" s="1"/>
  <c r="G318" i="4" s="1"/>
  <c r="J317" i="4"/>
  <c r="G26" i="5"/>
  <c r="J26" i="5" s="1"/>
  <c r="D318" i="4"/>
  <c r="E318" i="4" l="1"/>
  <c r="H318" i="4" s="1"/>
  <c r="C318" i="4" l="1"/>
  <c r="I318" i="4" s="1"/>
  <c r="B319" i="4" s="1"/>
  <c r="G319" i="4" s="1"/>
  <c r="G27" i="5"/>
  <c r="J27" i="5" s="1"/>
  <c r="J318" i="4"/>
  <c r="D319" i="4" l="1"/>
  <c r="E319" i="4"/>
  <c r="H319" i="4" s="1"/>
  <c r="C319" i="4" l="1"/>
  <c r="I319" i="4" s="1"/>
  <c r="B320" i="4" s="1"/>
  <c r="G320" i="4" s="1"/>
  <c r="J319" i="4"/>
  <c r="G28" i="5"/>
  <c r="J28" i="5" s="1"/>
  <c r="D320" i="4" l="1"/>
  <c r="E320" i="4"/>
  <c r="H320" i="4" s="1"/>
  <c r="C320" i="4" l="1"/>
  <c r="I320" i="4" s="1"/>
  <c r="B321" i="4" s="1"/>
  <c r="D321" i="4" s="1"/>
  <c r="J320" i="4"/>
  <c r="G29" i="5"/>
  <c r="J29" i="5" s="1"/>
  <c r="G321" i="4"/>
  <c r="E321" i="4" l="1"/>
  <c r="H321" i="4" s="1"/>
  <c r="C321" i="4" l="1"/>
  <c r="I321" i="4" s="1"/>
  <c r="B322" i="4" s="1"/>
  <c r="G322" i="4" s="1"/>
  <c r="J321" i="4"/>
  <c r="G30" i="5"/>
  <c r="J30" i="5" s="1"/>
  <c r="D322" i="4" l="1"/>
  <c r="E322" i="4"/>
  <c r="H322" i="4" s="1"/>
  <c r="C322" i="4" l="1"/>
  <c r="I322" i="4" s="1"/>
  <c r="B323" i="4" s="1"/>
  <c r="G323" i="4" s="1"/>
  <c r="J322" i="4"/>
  <c r="G31" i="5"/>
  <c r="J31" i="5" s="1"/>
  <c r="D323" i="4" l="1"/>
  <c r="E323" i="4"/>
  <c r="H323" i="4" s="1"/>
  <c r="C323" i="4" l="1"/>
  <c r="I323" i="4" s="1"/>
  <c r="B324" i="4" s="1"/>
  <c r="D324" i="4" s="1"/>
  <c r="J323" i="4"/>
  <c r="G32" i="5"/>
  <c r="J32" i="5" s="1"/>
  <c r="G324" i="4"/>
  <c r="E324" i="4" l="1"/>
  <c r="H324" i="4" s="1"/>
  <c r="C324" i="4" l="1"/>
  <c r="I324" i="4" s="1"/>
  <c r="B325" i="4" s="1"/>
  <c r="D325" i="4" s="1"/>
  <c r="J324" i="4"/>
  <c r="G33" i="5"/>
  <c r="J33" i="5" s="1"/>
  <c r="G325" i="4" l="1"/>
  <c r="E325" i="4"/>
  <c r="H325" i="4" s="1"/>
  <c r="C325" i="4" l="1"/>
  <c r="I325" i="4" s="1"/>
  <c r="B326" i="4" s="1"/>
  <c r="D326" i="4" s="1"/>
  <c r="J325" i="4"/>
  <c r="G34" i="5"/>
  <c r="J34" i="5" s="1"/>
  <c r="G326" i="4" l="1"/>
  <c r="E326" i="4"/>
  <c r="H326" i="4" s="1"/>
  <c r="C326" i="4" l="1"/>
  <c r="I326" i="4" s="1"/>
  <c r="B327" i="4" s="1"/>
  <c r="J326" i="4"/>
  <c r="G35" i="5"/>
  <c r="J35" i="5" s="1"/>
  <c r="G327" i="4"/>
  <c r="D327" i="4"/>
  <c r="E327" i="4" l="1"/>
  <c r="H327" i="4" s="1"/>
  <c r="C327" i="4" l="1"/>
  <c r="I327" i="4" s="1"/>
  <c r="B328" i="4" s="1"/>
  <c r="J327" i="4"/>
  <c r="G36" i="5"/>
  <c r="J36" i="5" s="1"/>
  <c r="G328" i="4"/>
  <c r="D328" i="4"/>
  <c r="E328" i="4" l="1"/>
  <c r="H328" i="4" s="1"/>
  <c r="C328" i="4" l="1"/>
  <c r="I328" i="4" s="1"/>
  <c r="B329" i="4" s="1"/>
  <c r="J328" i="4"/>
  <c r="G37" i="5"/>
  <c r="J37" i="5" s="1"/>
  <c r="G329" i="4"/>
  <c r="D329" i="4"/>
  <c r="E329" i="4" l="1"/>
  <c r="H329" i="4" s="1"/>
  <c r="C329" i="4" l="1"/>
  <c r="I329" i="4" s="1"/>
  <c r="B330" i="4" s="1"/>
  <c r="D330" i="4" s="1"/>
  <c r="J329" i="4"/>
  <c r="G38" i="5"/>
  <c r="J38" i="5" s="1"/>
  <c r="G330" i="4" l="1"/>
  <c r="E330" i="4"/>
  <c r="H330" i="4" s="1"/>
  <c r="C330" i="4" l="1"/>
  <c r="I330" i="4" s="1"/>
  <c r="B331" i="4" s="1"/>
  <c r="D331" i="4" s="1"/>
  <c r="J330" i="4"/>
  <c r="G39" i="5"/>
  <c r="J39" i="5" s="1"/>
  <c r="G331" i="4" l="1"/>
  <c r="E331" i="4"/>
  <c r="H331" i="4" l="1"/>
  <c r="C331" i="4"/>
  <c r="I331" i="4" s="1"/>
  <c r="B332" i="4" s="1"/>
  <c r="D332" i="4" s="1"/>
  <c r="J331" i="4"/>
  <c r="G40" i="5"/>
  <c r="J40" i="5" s="1"/>
  <c r="G332" i="4" l="1"/>
  <c r="E332" i="4"/>
  <c r="H332" i="4" s="1"/>
  <c r="C332" i="4" l="1"/>
  <c r="I332" i="4" s="1"/>
  <c r="B333" i="4" s="1"/>
  <c r="G333" i="4" s="1"/>
  <c r="G41" i="5"/>
  <c r="J41" i="5" s="1"/>
  <c r="J332" i="4"/>
  <c r="D333" i="4" l="1"/>
  <c r="E333" i="4"/>
  <c r="H333" i="4" s="1"/>
  <c r="C333" i="4" l="1"/>
  <c r="I333" i="4" s="1"/>
  <c r="B334" i="4" s="1"/>
  <c r="J333" i="4"/>
  <c r="G42" i="5"/>
  <c r="J42" i="5" s="1"/>
  <c r="G334" i="4"/>
  <c r="D334" i="4"/>
  <c r="E334" i="4" l="1"/>
  <c r="H334" i="4" s="1"/>
  <c r="C334" i="4" l="1"/>
  <c r="I334" i="4" s="1"/>
  <c r="B335" i="4" s="1"/>
  <c r="G335" i="4" s="1"/>
  <c r="J334" i="4"/>
  <c r="G43" i="5"/>
  <c r="J43" i="5" s="1"/>
  <c r="D335" i="4" l="1"/>
  <c r="E335" i="4"/>
  <c r="H335" i="4" s="1"/>
  <c r="C335" i="4" l="1"/>
  <c r="I335" i="4" s="1"/>
  <c r="B336" i="4" s="1"/>
  <c r="G336" i="4" s="1"/>
  <c r="J335" i="4"/>
  <c r="G44" i="5"/>
  <c r="J44" i="5" s="1"/>
  <c r="D336" i="4" l="1"/>
  <c r="E336" i="4"/>
  <c r="H336" i="4" s="1"/>
  <c r="C336" i="4" l="1"/>
  <c r="I336" i="4" s="1"/>
  <c r="B337" i="4" s="1"/>
  <c r="D337" i="4" s="1"/>
  <c r="J336" i="4"/>
  <c r="G45" i="5"/>
  <c r="J45" i="5" s="1"/>
  <c r="G337" i="4"/>
  <c r="E337" i="4" l="1"/>
  <c r="H337" i="4" s="1"/>
  <c r="C337" i="4" l="1"/>
  <c r="I337" i="4" s="1"/>
  <c r="B338" i="4" s="1"/>
  <c r="D338" i="4" s="1"/>
  <c r="J337" i="4"/>
  <c r="G46" i="5"/>
  <c r="J46" i="5" s="1"/>
  <c r="G338" i="4"/>
  <c r="E338" i="4" l="1"/>
  <c r="H338" i="4" s="1"/>
  <c r="C338" i="4" l="1"/>
  <c r="I338" i="4" s="1"/>
  <c r="B339" i="4" s="1"/>
  <c r="D339" i="4" s="1"/>
  <c r="J338" i="4"/>
  <c r="G47" i="5"/>
  <c r="J47" i="5" s="1"/>
  <c r="G339" i="4" l="1"/>
  <c r="E339" i="4"/>
  <c r="H339" i="4" s="1"/>
  <c r="C339" i="4" l="1"/>
  <c r="I339" i="4" s="1"/>
  <c r="B340" i="4" s="1"/>
  <c r="D340" i="4" s="1"/>
  <c r="J339" i="4"/>
  <c r="G48" i="5"/>
  <c r="J48" i="5" s="1"/>
  <c r="G340" i="4" l="1"/>
  <c r="E340" i="4"/>
  <c r="H340" i="4" s="1"/>
  <c r="C340" i="4" l="1"/>
  <c r="I340" i="4" s="1"/>
  <c r="B341" i="4" s="1"/>
  <c r="G341" i="4" s="1"/>
  <c r="J340" i="4"/>
  <c r="G49" i="5"/>
  <c r="J49" i="5" s="1"/>
  <c r="D341" i="4" l="1"/>
  <c r="E341" i="4"/>
  <c r="H341" i="4" s="1"/>
  <c r="C341" i="4" l="1"/>
  <c r="I341" i="4" s="1"/>
  <c r="B342" i="4" s="1"/>
  <c r="G342" i="4" s="1"/>
  <c r="J341" i="4"/>
  <c r="G50" i="5"/>
  <c r="J50" i="5" s="1"/>
  <c r="D342" i="4" l="1"/>
  <c r="E342" i="4"/>
  <c r="H342" i="4" s="1"/>
  <c r="C342" i="4" l="1"/>
  <c r="I342" i="4" s="1"/>
  <c r="B343" i="4" s="1"/>
  <c r="D343" i="4" s="1"/>
  <c r="J342" i="4"/>
  <c r="G51" i="5"/>
  <c r="J51" i="5" s="1"/>
  <c r="G343" i="4" l="1"/>
  <c r="E343" i="4"/>
  <c r="H343" i="4" s="1"/>
  <c r="C343" i="4" l="1"/>
  <c r="I343" i="4" s="1"/>
  <c r="B344" i="4" s="1"/>
  <c r="G344" i="4" s="1"/>
  <c r="J343" i="4"/>
  <c r="G52" i="5"/>
  <c r="J52" i="5" s="1"/>
  <c r="D344" i="4" l="1"/>
  <c r="E344" i="4"/>
  <c r="H344" i="4" s="1"/>
  <c r="C344" i="4" l="1"/>
  <c r="I344" i="4" s="1"/>
  <c r="B345" i="4" s="1"/>
  <c r="J344" i="4"/>
  <c r="G53" i="5"/>
  <c r="J53" i="5" s="1"/>
  <c r="G345" i="4"/>
  <c r="D345" i="4"/>
  <c r="E345" i="4" l="1"/>
  <c r="H345" i="4" s="1"/>
  <c r="C345" i="4" l="1"/>
  <c r="I345" i="4" s="1"/>
  <c r="B346" i="4" s="1"/>
  <c r="D346" i="4" s="1"/>
  <c r="J345" i="4"/>
  <c r="G54" i="5"/>
  <c r="J54" i="5" s="1"/>
  <c r="G346" i="4" l="1"/>
  <c r="E346" i="4"/>
  <c r="C346" i="4" s="1"/>
  <c r="I346" i="4" s="1"/>
  <c r="B347" i="4" s="1"/>
  <c r="H346" i="4" l="1"/>
  <c r="J346" i="4"/>
  <c r="G55" i="5"/>
  <c r="J55" i="5" s="1"/>
  <c r="G347" i="4"/>
  <c r="D347" i="4"/>
  <c r="E347" i="4" l="1"/>
  <c r="H347" i="4" s="1"/>
  <c r="C347" i="4" l="1"/>
  <c r="I347" i="4" s="1"/>
  <c r="B348" i="4" s="1"/>
  <c r="G348" i="4" s="1"/>
  <c r="J347" i="4"/>
  <c r="G56" i="5"/>
  <c r="J56" i="5" s="1"/>
  <c r="D348" i="4" l="1"/>
  <c r="E348" i="4"/>
  <c r="H348" i="4" s="1"/>
  <c r="C348" i="4" l="1"/>
  <c r="I348" i="4" s="1"/>
  <c r="B349" i="4" s="1"/>
  <c r="D349" i="4" s="1"/>
  <c r="J348" i="4"/>
  <c r="G57" i="5"/>
  <c r="J57" i="5" s="1"/>
  <c r="G349" i="4" l="1"/>
  <c r="E349" i="4"/>
  <c r="H349" i="4" s="1"/>
  <c r="C349" i="4" l="1"/>
  <c r="I349" i="4" s="1"/>
  <c r="B350" i="4" s="1"/>
  <c r="D350" i="4" s="1"/>
  <c r="J349" i="4"/>
  <c r="G58" i="5"/>
  <c r="J58" i="5" s="1"/>
  <c r="G350" i="4" l="1"/>
  <c r="C350" i="4"/>
  <c r="I350" i="4" s="1"/>
  <c r="B351" i="4" s="1"/>
  <c r="E350" i="4"/>
  <c r="H350" i="4" s="1"/>
  <c r="J350" i="4" l="1"/>
  <c r="G59" i="5"/>
  <c r="J59" i="5" s="1"/>
  <c r="G351" i="4"/>
  <c r="D351" i="4"/>
  <c r="E351" i="4" l="1"/>
  <c r="H351" i="4" s="1"/>
  <c r="C351" i="4" l="1"/>
  <c r="I351" i="4" s="1"/>
  <c r="B352" i="4" s="1"/>
  <c r="G352" i="4" s="1"/>
  <c r="J351" i="4"/>
  <c r="G60" i="5"/>
  <c r="J60" i="5" s="1"/>
  <c r="D352" i="4" l="1"/>
  <c r="E352" i="4"/>
  <c r="H352" i="4" s="1"/>
  <c r="C352" i="4" l="1"/>
  <c r="I352" i="4" s="1"/>
  <c r="B353" i="4" s="1"/>
  <c r="J352" i="4"/>
  <c r="G61" i="5"/>
  <c r="J61" i="5" s="1"/>
  <c r="D353" i="4"/>
  <c r="G353" i="4"/>
  <c r="E353" i="4" l="1"/>
  <c r="H353" i="4" s="1"/>
  <c r="C353" i="4" l="1"/>
  <c r="I353" i="4" s="1"/>
  <c r="B354" i="4" s="1"/>
  <c r="J353" i="4"/>
  <c r="G62" i="5"/>
  <c r="J62" i="5" s="1"/>
  <c r="G354" i="4"/>
  <c r="D354" i="4"/>
  <c r="E354" i="4" l="1"/>
  <c r="H354" i="4" s="1"/>
  <c r="C354" i="4" l="1"/>
  <c r="I354" i="4" s="1"/>
  <c r="B355" i="4" s="1"/>
  <c r="D355" i="4" s="1"/>
  <c r="J354" i="4"/>
  <c r="G63" i="5"/>
  <c r="J63" i="5" s="1"/>
  <c r="G355" i="4" l="1"/>
  <c r="E355" i="4"/>
  <c r="H355" i="4" s="1"/>
  <c r="C355" i="4" l="1"/>
  <c r="I355" i="4" s="1"/>
  <c r="B356" i="4" s="1"/>
  <c r="D356" i="4" s="1"/>
  <c r="J355" i="4"/>
  <c r="G64" i="5"/>
  <c r="J64" i="5" s="1"/>
  <c r="G356" i="4" l="1"/>
  <c r="E356" i="4"/>
  <c r="H356" i="4" s="1"/>
  <c r="C356" i="4" l="1"/>
  <c r="I356" i="4" s="1"/>
  <c r="B357" i="4" s="1"/>
  <c r="J356" i="4"/>
  <c r="G65" i="5"/>
  <c r="J65" i="5" s="1"/>
  <c r="G357" i="4"/>
  <c r="D357" i="4"/>
  <c r="E357" i="4" l="1"/>
  <c r="H357" i="4" s="1"/>
  <c r="C357" i="4" l="1"/>
  <c r="I357" i="4" s="1"/>
  <c r="B358" i="4" s="1"/>
  <c r="G358" i="4" s="1"/>
  <c r="J357" i="4"/>
  <c r="G66" i="5"/>
  <c r="J66" i="5" s="1"/>
  <c r="D358" i="4"/>
  <c r="E358" i="4" l="1"/>
  <c r="H358" i="4" s="1"/>
  <c r="C358" i="4" l="1"/>
  <c r="I358" i="4" s="1"/>
  <c r="B359" i="4" s="1"/>
  <c r="J358" i="4"/>
  <c r="G67" i="5"/>
  <c r="J67" i="5" s="1"/>
  <c r="G359" i="4"/>
  <c r="D359" i="4"/>
  <c r="E359" i="4" l="1"/>
  <c r="H359" i="4" s="1"/>
  <c r="C359" i="4" l="1"/>
  <c r="I359" i="4" s="1"/>
  <c r="B360" i="4" s="1"/>
  <c r="G360" i="4" s="1"/>
  <c r="J359" i="4"/>
  <c r="G68" i="5"/>
  <c r="J68" i="5" s="1"/>
  <c r="D360" i="4" l="1"/>
  <c r="E360" i="4"/>
  <c r="H360" i="4" s="1"/>
  <c r="C360" i="4" l="1"/>
  <c r="I360" i="4" s="1"/>
  <c r="B361" i="4" s="1"/>
  <c r="G361" i="4" s="1"/>
  <c r="J360" i="4"/>
  <c r="G69" i="5"/>
  <c r="J69" i="5" s="1"/>
  <c r="D361" i="4"/>
  <c r="E361" i="4" l="1"/>
  <c r="H361" i="4" s="1"/>
  <c r="C361" i="4" l="1"/>
  <c r="I361" i="4" s="1"/>
  <c r="B362" i="4" s="1"/>
  <c r="J361" i="4"/>
  <c r="G70" i="5"/>
  <c r="J70" i="5" s="1"/>
  <c r="G362" i="4"/>
  <c r="D362" i="4"/>
  <c r="E362" i="4" l="1"/>
  <c r="H362" i="4" s="1"/>
  <c r="C362" i="4" l="1"/>
  <c r="I362" i="4" s="1"/>
  <c r="B363" i="4" s="1"/>
  <c r="G363" i="4" s="1"/>
  <c r="J362" i="4"/>
  <c r="G71" i="5"/>
  <c r="J71" i="5" s="1"/>
  <c r="D363" i="4" l="1"/>
  <c r="E363" i="4"/>
  <c r="H363" i="4" s="1"/>
  <c r="C363" i="4" l="1"/>
  <c r="I363" i="4" s="1"/>
  <c r="B364" i="4" s="1"/>
  <c r="G364" i="4" s="1"/>
  <c r="J363" i="4"/>
  <c r="G72" i="5"/>
  <c r="J72" i="5" s="1"/>
  <c r="D364" i="4" l="1"/>
  <c r="E364" i="4"/>
  <c r="H364" i="4" s="1"/>
  <c r="C364" i="4" l="1"/>
  <c r="I364" i="4" s="1"/>
  <c r="B365" i="4" s="1"/>
  <c r="G365" i="4" s="1"/>
  <c r="J364" i="4"/>
  <c r="G73" i="5"/>
  <c r="J73" i="5" s="1"/>
  <c r="D365" i="4" l="1"/>
  <c r="E365" i="4"/>
  <c r="H365" i="4" s="1"/>
  <c r="C365" i="4" l="1"/>
  <c r="I365" i="4" s="1"/>
  <c r="B366" i="4" s="1"/>
  <c r="J365" i="4"/>
  <c r="G74" i="5"/>
  <c r="J74" i="5" s="1"/>
  <c r="G366" i="4"/>
  <c r="D366" i="4"/>
  <c r="E366" i="4" l="1"/>
  <c r="C366" i="4" s="1"/>
  <c r="I366" i="4" s="1"/>
  <c r="F13" i="3" s="1"/>
  <c r="F10" i="3"/>
  <c r="J21" i="1" s="1"/>
  <c r="H366" i="4"/>
  <c r="G75" i="5" l="1"/>
  <c r="J366" i="4"/>
  <c r="F11" i="2" s="1"/>
  <c r="F9" i="3"/>
  <c r="J20" i="1" s="1"/>
  <c r="J75" i="5" l="1"/>
  <c r="C13" i="5" s="1"/>
  <c r="C12" i="5"/>
  <c r="F12" i="2"/>
  <c r="F12" i="3" s="1"/>
  <c r="J22" i="1" s="1"/>
  <c r="F11" i="3"/>
  <c r="C14" i="5" l="1"/>
</calcChain>
</file>

<file path=xl/sharedStrings.xml><?xml version="1.0" encoding="utf-8"?>
<sst xmlns="http://schemas.openxmlformats.org/spreadsheetml/2006/main" count="117" uniqueCount="101">
  <si>
    <t>RENDIMENTO LÍQUIDO — Planilha de Financiamentos &amp; Empréstimos</t>
  </si>
  <si>
    <t>Site: rendimentoliquido.com.br   |   Instagram: @rendimentoliquido</t>
  </si>
  <si>
    <t>COMO USAR (3 passos)
1) Vá em DADOS e preencha apenas as células AMARELAS.
2) Veja o resumo em SAIDA (pronto para imprimir/enviar).
3) Se quiser simular antecipação de parcelas, use QUITACAO.
Observação: Esta planilha não usa macros, então funciona em qualquer Excel.</t>
  </si>
  <si>
    <t>PRÉVIA (automática)</t>
  </si>
  <si>
    <t>Prestação inicial</t>
  </si>
  <si>
    <t>Total pago</t>
  </si>
  <si>
    <t>Total de juros</t>
  </si>
  <si>
    <t>CET anual (aprox.)</t>
  </si>
  <si>
    <t>RENDIMENTO LÍQUIDO — DADOS</t>
  </si>
  <si>
    <t>Preencha apenas as células AMARELAS. Os resultados aparecem em SAIDA, CRONOGRAMA e QUITACAO.</t>
  </si>
  <si>
    <t>PARÂMETROS DA OPERAÇÃO</t>
  </si>
  <si>
    <t>CÁLCULOS AUTOMÁTICOS</t>
  </si>
  <si>
    <t>Dados principais</t>
  </si>
  <si>
    <t>Não altere (cálculos)</t>
  </si>
  <si>
    <t>Valor financiado (PV)</t>
  </si>
  <si>
    <t>Entrada</t>
  </si>
  <si>
    <t>Taxa efetiva mensal (i)</t>
  </si>
  <si>
    <t>Prazo (meses)</t>
  </si>
  <si>
    <t>Prestação inicial (R$) [sem extras]</t>
  </si>
  <si>
    <t>Taxa informada</t>
  </si>
  <si>
    <t>Amortização mensal (SAC) (R$)</t>
  </si>
  <si>
    <t>Tipo de taxa</t>
  </si>
  <si>
    <t>Total de meses</t>
  </si>
  <si>
    <t>Sistema de amortização</t>
  </si>
  <si>
    <t>PRICE</t>
  </si>
  <si>
    <t>CET mensal (aprox.)</t>
  </si>
  <si>
    <t>Carência (meses) — paga só juros</t>
  </si>
  <si>
    <t>CUSTOS PARA CÁLCULO DO CET (OPCIONAL)</t>
  </si>
  <si>
    <t>Informe apenas se existirem</t>
  </si>
  <si>
    <t>Tarifa inicial (R$)</t>
  </si>
  <si>
    <t>Seguro inicial (R$)</t>
  </si>
  <si>
    <t>Tarifa mensal (R$)</t>
  </si>
  <si>
    <t>Seguro mensal (% do saldo)</t>
  </si>
  <si>
    <t>DICA: Para simular um financiamento real com custos (tarifas/seguro), preencha os campos do CET.
A planilha calcula um CET aproximado usando o fluxo de caixa (IRR).</t>
  </si>
  <si>
    <t>RENDIMENTO LÍQUIDO — SAÍDA</t>
  </si>
  <si>
    <t>Resumo do financiamento (pronto para imprimir/enviar).</t>
  </si>
  <si>
    <t>Parâmetros</t>
  </si>
  <si>
    <t>Resultados</t>
  </si>
  <si>
    <t>Valor financiado</t>
  </si>
  <si>
    <t>Taxa efetiva mensal</t>
  </si>
  <si>
    <t>Prazo</t>
  </si>
  <si>
    <t>Prestação inicial (c/ extras)</t>
  </si>
  <si>
    <t>Sistema</t>
  </si>
  <si>
    <t>Carência (meses)</t>
  </si>
  <si>
    <t>Saldo final (deve ser ~0)</t>
  </si>
  <si>
    <t>RESUMO</t>
  </si>
  <si>
    <t>• Use este resumo para apresentar a simulação.
• O CET é aproximado e considera tarifas/seguros informados.
• QUITAÇÃO calcula o valor presente (desconto) das últimas parcelas antecipadas.</t>
  </si>
  <si>
    <t>RENDIMENTO LÍQUIDO — CRONOGRAMA</t>
  </si>
  <si>
    <t>i</t>
  </si>
  <si>
    <t>Tabela automática. Não altere as fórmulas.</t>
  </si>
  <si>
    <t>n</t>
  </si>
  <si>
    <t>car</t>
  </si>
  <si>
    <t>Parcela</t>
  </si>
  <si>
    <t>Saldo inicial</t>
  </si>
  <si>
    <t>Amortização</t>
  </si>
  <si>
    <t>Juros</t>
  </si>
  <si>
    <t>Prestação (base)</t>
  </si>
  <si>
    <t>Tarifa</t>
  </si>
  <si>
    <t>Seguro</t>
  </si>
  <si>
    <t>Total parcela</t>
  </si>
  <si>
    <t>Saldo final</t>
  </si>
  <si>
    <t>Fluxo (CET)</t>
  </si>
  <si>
    <t>n_amort</t>
  </si>
  <si>
    <t>pmt_price</t>
  </si>
  <si>
    <t>amort_sac</t>
  </si>
  <si>
    <t>RENDIMENTO LÍQUIDO — QUITAÇÃO (ANTECIPAÇÃO)</t>
  </si>
  <si>
    <t>Simule o desconto ao antecipar as ÚLTIMAS parcelas (de trás pra frente).</t>
  </si>
  <si>
    <t>ENTRADAS</t>
  </si>
  <si>
    <t>Parcelas já pagas (t)</t>
  </si>
  <si>
    <t>Taxa mensal (i)</t>
  </si>
  <si>
    <t>Quantas últimas parcelas deseja quitar?</t>
  </si>
  <si>
    <t>Prazo total (n)</t>
  </si>
  <si>
    <t>Início das parcelas quitadas</t>
  </si>
  <si>
    <t>Qtde de parcelas quitáveis</t>
  </si>
  <si>
    <t>RESULTADO</t>
  </si>
  <si>
    <t>Valor nominal das parcelas (soma)</t>
  </si>
  <si>
    <t>Valor para quitar hoje (valor presente)</t>
  </si>
  <si>
    <t>Desconto estimado</t>
  </si>
  <si>
    <t>Parcela (k)</t>
  </si>
  <si>
    <t>Meses até vencer (k-t)</t>
  </si>
  <si>
    <t>Parcela original (R$)</t>
  </si>
  <si>
    <t>Fator desc.</t>
  </si>
  <si>
    <t>Valor presente (R$)</t>
  </si>
  <si>
    <t>Nota sobre precisão:
O desconto é calculado como o VALOR PRESENTE das parcelas quitadas,
descontadas pela taxa mensal efetiva (i). Regras de cada banco podem variar.</t>
  </si>
  <si>
    <t>RENDIMENTO LÍQUIDO — AJUDA</t>
  </si>
  <si>
    <t>Dúvidas rápidas sobre os conceitos da planilha.</t>
  </si>
  <si>
    <t>Prestação constante. Juros diminuem e amortização aumenta ao longo do tempo.</t>
  </si>
  <si>
    <t>SAC</t>
  </si>
  <si>
    <t>Amortização constante. Prestação começa maior e vai caindo.</t>
  </si>
  <si>
    <t>AMERICANO</t>
  </si>
  <si>
    <t>Paga apenas juros e quita o principal no final (última parcela).</t>
  </si>
  <si>
    <t>Carência</t>
  </si>
  <si>
    <t>Período em que não há amortização do principal; normalmente paga-se apenas juros.</t>
  </si>
  <si>
    <t>CET (aprox.)</t>
  </si>
  <si>
    <t>Taxa efetiva calculada pelo fluxo de caixa (IRR), considerando tarifas e seguros informados.</t>
  </si>
  <si>
    <t>Quitação (de trás pra frente)</t>
  </si>
  <si>
    <t>Simula o valor presente das últimas parcelas antecipadas e estima o desconto.</t>
  </si>
  <si>
    <t>Anual</t>
  </si>
  <si>
    <t>Price</t>
  </si>
  <si>
    <t>KPIs (automático)</t>
  </si>
  <si>
    <r>
      <rPr>
        <sz val="18"/>
        <color rgb="FF0070C0"/>
        <rFont val="Calibri"/>
        <family val="2"/>
      </rPr>
      <t>Após preencher a aba DADOS, aqui você verá os principais números.</t>
    </r>
    <r>
      <rPr>
        <sz val="11"/>
        <color rgb="FF1F2328"/>
        <rFont val="Calibri"/>
        <family val="2"/>
      </rPr>
      <t xml:space="preserve">
</t>
    </r>
    <r>
      <rPr>
        <b/>
        <sz val="14"/>
        <color rgb="FF1F2328"/>
        <rFont val="Calibri"/>
        <family val="2"/>
      </rPr>
      <t>• Prestação inicial
• Total pago
• Total de juros
• CET (aprox.)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</si>
</sst>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R\$\ #,##0.00;[Red]\(\R\$\ #,##0.00\);&quot;-&quot;"/>
    <numFmt numFmtId="165" formatCode="0.00%;[Red]\-0.00%;&quot;-&quot;"/>
    <numFmt numFmtId="166" formatCode="0;[Red]\(0\);&quot;-&quot;"/>
    <numFmt numFmtId="167" formatCode="#,##0.00;[Red]\(#,##0.00\);&quot;-&quot;"/>
  </numFmts>
  <fonts count="21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b/>
      <sz val="11"/>
      <color rgb="FF0B1F3B"/>
      <name val="Calibri"/>
    </font>
    <font>
      <sz val="11"/>
      <color rgb="FF1F2328"/>
      <name val="Calibri"/>
    </font>
    <font>
      <b/>
      <sz val="11"/>
      <color rgb="FFFFFFFF"/>
      <name val="Calibri"/>
    </font>
    <font>
      <b/>
      <sz val="13"/>
      <color rgb="FF0B1F3B"/>
      <name val="Calibri"/>
    </font>
    <font>
      <sz val="10"/>
      <color rgb="FF6E7781"/>
      <name val="Calibri"/>
    </font>
    <font>
      <sz val="9"/>
      <color rgb="FF6E7781"/>
      <name val="Calibri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2328"/>
      <name val="Calibri"/>
      <family val="2"/>
    </font>
    <font>
      <u/>
      <sz val="11"/>
      <color theme="0"/>
      <name val="Calibri"/>
      <family val="2"/>
      <scheme val="minor"/>
    </font>
    <font>
      <b/>
      <sz val="18"/>
      <color rgb="FF0B1F3B"/>
      <name val="Calibri"/>
      <family val="2"/>
    </font>
    <font>
      <sz val="18"/>
      <color theme="1"/>
      <name val="Calibri"/>
      <family val="2"/>
      <scheme val="minor"/>
    </font>
    <font>
      <b/>
      <sz val="14"/>
      <color rgb="FF1F2328"/>
      <name val="Calibri"/>
      <family val="2"/>
    </font>
    <font>
      <b/>
      <sz val="16"/>
      <color rgb="FF1F2328"/>
      <name val="Calibri"/>
      <family val="2"/>
    </font>
    <font>
      <sz val="11"/>
      <color rgb="FF1F2328"/>
      <name val="Calibri"/>
      <family val="2"/>
    </font>
    <font>
      <sz val="18"/>
      <color rgb="FF0070C0"/>
      <name val="Calibri"/>
      <family val="2"/>
    </font>
    <font>
      <b/>
      <sz val="16"/>
      <color theme="1"/>
      <name val="Calibri"/>
      <family val="2"/>
      <scheme val="minor"/>
    </font>
    <font>
      <b/>
      <sz val="13"/>
      <color rgb="FFFF0000"/>
      <name val="Calibri"/>
      <family val="2"/>
    </font>
    <font>
      <b/>
      <sz val="14"/>
      <color rgb="FF0B1F3B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B1F3B"/>
      </patternFill>
    </fill>
    <fill>
      <patternFill patternType="solid">
        <fgColor rgb="FFF3F6FA"/>
      </patternFill>
    </fill>
    <fill>
      <patternFill patternType="solid">
        <fgColor rgb="FFFFF4E5"/>
      </patternFill>
    </fill>
    <fill>
      <patternFill patternType="solid">
        <fgColor rgb="FF1F6FEB"/>
      </patternFill>
    </fill>
    <fill>
      <patternFill patternType="solid">
        <fgColor rgb="FFFFF2CC"/>
      </patternFill>
    </fill>
    <fill>
      <patternFill patternType="solid">
        <fgColor rgb="FFE8F0FE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9D9D9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rgb="FFD9D9D9"/>
      </right>
      <top style="thin">
        <color theme="0" tint="-0.14999847407452621"/>
      </top>
      <bottom style="thin">
        <color rgb="FFD9D9D9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rgb="FFD9D9D9"/>
      </left>
      <right/>
      <top style="thin">
        <color rgb="FFD9D9D9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6">
    <xf numFmtId="0" fontId="0" fillId="0" borderId="0" xfId="0"/>
    <xf numFmtId="0" fontId="3" fillId="3" borderId="2" xfId="0" applyFont="1" applyFill="1" applyBorder="1" applyAlignment="1">
      <alignment horizontal="left" vertical="center" wrapText="1"/>
    </xf>
    <xf numFmtId="0" fontId="5" fillId="0" borderId="0" xfId="0" applyFont="1"/>
    <xf numFmtId="0" fontId="3" fillId="7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/>
    <xf numFmtId="0" fontId="6" fillId="0" borderId="0" xfId="0" applyFont="1"/>
    <xf numFmtId="164" fontId="2" fillId="3" borderId="2" xfId="0" applyNumberFormat="1" applyFont="1" applyFill="1" applyBorder="1" applyAlignment="1">
      <alignment horizontal="right" vertical="center" wrapText="1"/>
    </xf>
    <xf numFmtId="0" fontId="3" fillId="7" borderId="2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/>
    <xf numFmtId="0" fontId="0" fillId="0" borderId="2" xfId="0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7" fontId="3" fillId="0" borderId="2" xfId="0" applyNumberFormat="1" applyFont="1" applyBorder="1" applyAlignment="1">
      <alignment horizontal="right" vertical="center" wrapText="1"/>
    </xf>
    <xf numFmtId="0" fontId="0" fillId="0" borderId="6" xfId="0" applyBorder="1"/>
    <xf numFmtId="0" fontId="4" fillId="5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3" borderId="2" xfId="0" applyFont="1" applyFill="1" applyBorder="1" applyAlignment="1">
      <alignment horizontal="left" vertical="center"/>
    </xf>
    <xf numFmtId="0" fontId="0" fillId="0" borderId="5" xfId="0" applyBorder="1"/>
    <xf numFmtId="0" fontId="3" fillId="3" borderId="2" xfId="0" applyFont="1" applyFill="1" applyBorder="1" applyAlignment="1">
      <alignment horizontal="left" vertical="center" wrapText="1"/>
    </xf>
    <xf numFmtId="0" fontId="0" fillId="0" borderId="7" xfId="0" applyBorder="1"/>
    <xf numFmtId="0" fontId="0" fillId="0" borderId="0" xfId="0"/>
    <xf numFmtId="0" fontId="0" fillId="0" borderId="8" xfId="0" applyBorder="1"/>
    <xf numFmtId="0" fontId="1" fillId="2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/>
    <xf numFmtId="0" fontId="0" fillId="0" borderId="0" xfId="0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0" fontId="5" fillId="8" borderId="0" xfId="0" applyFont="1" applyFill="1"/>
    <xf numFmtId="0" fontId="2" fillId="3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8" borderId="1" xfId="0" applyFill="1" applyBorder="1"/>
    <xf numFmtId="0" fontId="0" fillId="8" borderId="1" xfId="0" applyFill="1" applyBorder="1" applyAlignment="1"/>
    <xf numFmtId="0" fontId="0" fillId="0" borderId="14" xfId="0" applyBorder="1" applyAlignment="1">
      <alignment horizontal="center"/>
    </xf>
    <xf numFmtId="0" fontId="2" fillId="3" borderId="1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11" fillId="8" borderId="1" xfId="1" applyFont="1" applyFill="1" applyBorder="1" applyAlignment="1">
      <alignment vertical="center" wrapText="1"/>
    </xf>
    <xf numFmtId="0" fontId="5" fillId="8" borderId="0" xfId="0" applyFont="1" applyFill="1" applyAlignment="1">
      <alignment horizontal="left" vertical="center" wrapText="1"/>
    </xf>
    <xf numFmtId="0" fontId="0" fillId="0" borderId="1" xfId="0" applyBorder="1"/>
    <xf numFmtId="0" fontId="3" fillId="4" borderId="22" xfId="0" applyFont="1" applyFill="1" applyBorder="1" applyAlignment="1">
      <alignment horizontal="left" vertical="center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3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164" fontId="12" fillId="7" borderId="2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165" fontId="12" fillId="7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1" fillId="8" borderId="1" xfId="1" applyFont="1" applyFill="1" applyBorder="1" applyAlignment="1">
      <alignment horizontal="center" wrapText="1"/>
    </xf>
    <xf numFmtId="0" fontId="15" fillId="7" borderId="2" xfId="0" applyFont="1" applyFill="1" applyBorder="1" applyAlignment="1">
      <alignment horizontal="left" vertical="center" wrapText="1"/>
    </xf>
    <xf numFmtId="0" fontId="18" fillId="0" borderId="5" xfId="0" applyFont="1" applyBorder="1"/>
    <xf numFmtId="0" fontId="18" fillId="0" borderId="6" xfId="0" applyFont="1" applyBorder="1"/>
    <xf numFmtId="0" fontId="19" fillId="8" borderId="0" xfId="0" applyFont="1" applyFill="1"/>
    <xf numFmtId="164" fontId="14" fillId="6" borderId="2" xfId="0" applyNumberFormat="1" applyFont="1" applyFill="1" applyBorder="1" applyAlignment="1">
      <alignment horizontal="center" vertical="center" wrapText="1"/>
    </xf>
    <xf numFmtId="166" fontId="14" fillId="6" borderId="2" xfId="0" applyNumberFormat="1" applyFont="1" applyFill="1" applyBorder="1" applyAlignment="1">
      <alignment horizontal="center" vertical="center" wrapText="1"/>
    </xf>
    <xf numFmtId="165" fontId="14" fillId="6" borderId="2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166" fontId="14" fillId="6" borderId="21" xfId="0" applyNumberFormat="1" applyFont="1" applyFill="1" applyBorder="1" applyAlignment="1">
      <alignment horizontal="center" vertical="center" wrapText="1"/>
    </xf>
    <xf numFmtId="165" fontId="20" fillId="7" borderId="11" xfId="0" applyNumberFormat="1" applyFont="1" applyFill="1" applyBorder="1" applyAlignment="1">
      <alignment horizontal="center" vertical="center" wrapText="1"/>
    </xf>
    <xf numFmtId="164" fontId="20" fillId="7" borderId="6" xfId="0" applyNumberFormat="1" applyFont="1" applyFill="1" applyBorder="1" applyAlignment="1">
      <alignment horizontal="center" vertical="center" wrapText="1"/>
    </xf>
    <xf numFmtId="166" fontId="20" fillId="7" borderId="6" xfId="0" applyNumberFormat="1" applyFont="1" applyFill="1" applyBorder="1" applyAlignment="1">
      <alignment horizontal="center" vertical="center" wrapText="1"/>
    </xf>
    <xf numFmtId="165" fontId="20" fillId="7" borderId="6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166" fontId="20" fillId="3" borderId="2" xfId="0" applyNumberFormat="1" applyFont="1" applyFill="1" applyBorder="1" applyAlignment="1">
      <alignment horizontal="center" vertical="center" wrapText="1"/>
    </xf>
    <xf numFmtId="165" fontId="20" fillId="3" borderId="2" xfId="0" applyNumberFormat="1" applyFont="1" applyFill="1" applyBorder="1" applyAlignment="1">
      <alignment horizontal="center" vertical="center" wrapText="1"/>
    </xf>
    <xf numFmtId="164" fontId="20" fillId="7" borderId="2" xfId="0" applyNumberFormat="1" applyFont="1" applyFill="1" applyBorder="1" applyAlignment="1">
      <alignment horizontal="right" vertical="center" wrapText="1"/>
    </xf>
    <xf numFmtId="165" fontId="20" fillId="7" borderId="2" xfId="0" applyNumberFormat="1" applyFont="1" applyFill="1" applyBorder="1" applyAlignment="1">
      <alignment horizontal="center" vertical="center" wrapText="1"/>
    </xf>
    <xf numFmtId="164" fontId="20" fillId="7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20" fillId="7" borderId="2" xfId="0" applyNumberFormat="1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QUITACAO!A1"/><Relationship Id="rId2" Type="http://schemas.openxmlformats.org/officeDocument/2006/relationships/hyperlink" Target="#SAIDA!A1"/><Relationship Id="rId1" Type="http://schemas.openxmlformats.org/officeDocument/2006/relationships/hyperlink" Target="#DADOS!A1"/><Relationship Id="rId5" Type="http://schemas.openxmlformats.org/officeDocument/2006/relationships/hyperlink" Target="#AJUDA!A1"/><Relationship Id="rId4" Type="http://schemas.openxmlformats.org/officeDocument/2006/relationships/hyperlink" Target="#CRONOGRAMA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342899</xdr:colOff>
      <xdr:row>4</xdr:row>
      <xdr:rowOff>128835</xdr:rowOff>
    </xdr:from>
    <xdr:ext cx="1219199" cy="694516"/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1CE982-B4FA-8C35-D6F8-62A10F045F00}"/>
            </a:ext>
          </a:extLst>
        </xdr:cNvPr>
        <xdr:cNvSpPr/>
      </xdr:nvSpPr>
      <xdr:spPr>
        <a:xfrm>
          <a:off x="5676899" y="995610"/>
          <a:ext cx="1219199" cy="694516"/>
        </a:xfrm>
        <a:prstGeom prst="roundRect">
          <a:avLst/>
        </a:prstGeom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IR PARA </a:t>
          </a:r>
          <a:r>
            <a:rPr lang="pt-BR" sz="1600"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DADOS</a:t>
          </a:r>
        </a:p>
      </xdr:txBody>
    </xdr:sp>
    <xdr:clientData/>
  </xdr:oneCellAnchor>
  <xdr:oneCellAnchor>
    <xdr:from>
      <xdr:col>7</xdr:col>
      <xdr:colOff>819150</xdr:colOff>
      <xdr:row>4</xdr:row>
      <xdr:rowOff>133350</xdr:rowOff>
    </xdr:from>
    <xdr:ext cx="1219199" cy="694516"/>
    <xdr:sp macro="" textlink="">
      <xdr:nvSpPr>
        <xdr:cNvPr id="11" name="Retângulo: Cantos Arredondados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C03765-9FED-4581-8B59-3B87BDC5FDE4}"/>
            </a:ext>
          </a:extLst>
        </xdr:cNvPr>
        <xdr:cNvSpPr/>
      </xdr:nvSpPr>
      <xdr:spPr>
        <a:xfrm>
          <a:off x="8286750" y="1000125"/>
          <a:ext cx="1219199" cy="694516"/>
        </a:xfrm>
        <a:prstGeom prst="roundRect">
          <a:avLst/>
        </a:prstGeom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VER</a:t>
          </a:r>
          <a:r>
            <a:rPr lang="pt-BR" sz="1600" baseline="0"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 SAÍDA</a:t>
          </a:r>
          <a:endParaRPr lang="pt-BR" sz="1600">
            <a:latin typeface="ADLaM Display" panose="020F0502020204030204" pitchFamily="2" charset="0"/>
            <a:ea typeface="ADLaM Display" panose="020F0502020204030204" pitchFamily="2" charset="0"/>
            <a:cs typeface="ADLaM Display" panose="020F0502020204030204" pitchFamily="2" charset="0"/>
          </a:endParaRPr>
        </a:p>
      </xdr:txBody>
    </xdr:sp>
    <xdr:clientData/>
  </xdr:oneCellAnchor>
  <xdr:oneCellAnchor>
    <xdr:from>
      <xdr:col>10</xdr:col>
      <xdr:colOff>276225</xdr:colOff>
      <xdr:row>4</xdr:row>
      <xdr:rowOff>133350</xdr:rowOff>
    </xdr:from>
    <xdr:ext cx="1219199" cy="694516"/>
    <xdr:sp macro="" textlink="">
      <xdr:nvSpPr>
        <xdr:cNvPr id="12" name="Retângulo: Cantos Arredondados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6F3A2B-FCE2-4180-A43B-A515199541F2}"/>
            </a:ext>
          </a:extLst>
        </xdr:cNvPr>
        <xdr:cNvSpPr/>
      </xdr:nvSpPr>
      <xdr:spPr>
        <a:xfrm>
          <a:off x="10944225" y="1000125"/>
          <a:ext cx="1219199" cy="694516"/>
        </a:xfrm>
        <a:prstGeom prst="roundRect">
          <a:avLst/>
        </a:prstGeom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400"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PAGANDO</a:t>
          </a:r>
          <a:r>
            <a:rPr lang="pt-BR" sz="1400" baseline="0"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 A ÚLTIMA</a:t>
          </a:r>
          <a:endParaRPr lang="pt-BR" sz="1400">
            <a:latin typeface="ADLaM Display" panose="020F0502020204030204" pitchFamily="2" charset="0"/>
            <a:ea typeface="ADLaM Display" panose="020F0502020204030204" pitchFamily="2" charset="0"/>
            <a:cs typeface="ADLaM Display" panose="020F0502020204030204" pitchFamily="2" charset="0"/>
          </a:endParaRPr>
        </a:p>
      </xdr:txBody>
    </xdr:sp>
    <xdr:clientData/>
  </xdr:oneCellAnchor>
  <xdr:oneCellAnchor>
    <xdr:from>
      <xdr:col>10</xdr:col>
      <xdr:colOff>2943225</xdr:colOff>
      <xdr:row>4</xdr:row>
      <xdr:rowOff>133350</xdr:rowOff>
    </xdr:from>
    <xdr:ext cx="1219199" cy="694516"/>
    <xdr:sp macro="" textlink="">
      <xdr:nvSpPr>
        <xdr:cNvPr id="13" name="Retângulo: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1BDF67-4193-4A3C-83E6-6A213C6DC599}"/>
            </a:ext>
          </a:extLst>
        </xdr:cNvPr>
        <xdr:cNvSpPr/>
      </xdr:nvSpPr>
      <xdr:spPr>
        <a:xfrm>
          <a:off x="13611225" y="1000125"/>
          <a:ext cx="1219199" cy="694516"/>
        </a:xfrm>
        <a:prstGeom prst="roundRect">
          <a:avLst/>
        </a:prstGeom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TABELA</a:t>
          </a:r>
        </a:p>
      </xdr:txBody>
    </xdr:sp>
    <xdr:clientData/>
  </xdr:oneCellAnchor>
  <xdr:oneCellAnchor>
    <xdr:from>
      <xdr:col>10</xdr:col>
      <xdr:colOff>5486400</xdr:colOff>
      <xdr:row>4</xdr:row>
      <xdr:rowOff>114300</xdr:rowOff>
    </xdr:from>
    <xdr:ext cx="1219199" cy="694516"/>
    <xdr:sp macro="" textlink="">
      <xdr:nvSpPr>
        <xdr:cNvPr id="14" name="Retângulo: Cantos Arredondados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E226F4F-BD21-4994-A27F-6DC916429A9A}"/>
            </a:ext>
          </a:extLst>
        </xdr:cNvPr>
        <xdr:cNvSpPr/>
      </xdr:nvSpPr>
      <xdr:spPr>
        <a:xfrm>
          <a:off x="16154400" y="981075"/>
          <a:ext cx="1219199" cy="694516"/>
        </a:xfrm>
        <a:prstGeom prst="roundRect">
          <a:avLst/>
        </a:prstGeom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AJUDA</a:t>
          </a:r>
          <a:endParaRPr lang="pt-BR" sz="1600">
            <a:latin typeface="ADLaM Display" panose="020F0502020204030204" pitchFamily="2" charset="0"/>
            <a:ea typeface="ADLaM Display" panose="020F0502020204030204" pitchFamily="2" charset="0"/>
            <a:cs typeface="ADLaM Display" panose="020F0502020204030204" pitchFamily="2" charset="0"/>
          </a:endParaRPr>
        </a:p>
      </xdr:txBody>
    </xdr:sp>
    <xdr:clientData/>
  </xdr:oneCellAnchor>
  <xdr:twoCellAnchor>
    <xdr:from>
      <xdr:col>4</xdr:col>
      <xdr:colOff>66675</xdr:colOff>
      <xdr:row>5</xdr:row>
      <xdr:rowOff>66675</xdr:rowOff>
    </xdr:from>
    <xdr:to>
      <xdr:col>4</xdr:col>
      <xdr:colOff>790575</xdr:colOff>
      <xdr:row>7</xdr:row>
      <xdr:rowOff>161925</xdr:rowOff>
    </xdr:to>
    <xdr:sp macro="" textlink="">
      <xdr:nvSpPr>
        <xdr:cNvPr id="15" name="Seta: para a Direita 14">
          <a:extLst>
            <a:ext uri="{FF2B5EF4-FFF2-40B4-BE49-F238E27FC236}">
              <a16:creationId xmlns:a16="http://schemas.microsoft.com/office/drawing/2014/main" id="{79681024-998D-0022-705F-F1FD548FC6B8}"/>
            </a:ext>
          </a:extLst>
        </xdr:cNvPr>
        <xdr:cNvSpPr/>
      </xdr:nvSpPr>
      <xdr:spPr>
        <a:xfrm>
          <a:off x="4333875" y="1123950"/>
          <a:ext cx="723900" cy="4762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838200</xdr:colOff>
      <xdr:row>5</xdr:row>
      <xdr:rowOff>171450</xdr:rowOff>
    </xdr:from>
    <xdr:to>
      <xdr:col>7</xdr:col>
      <xdr:colOff>495300</xdr:colOff>
      <xdr:row>7</xdr:row>
      <xdr:rowOff>76200</xdr:rowOff>
    </xdr:to>
    <xdr:sp macro="" textlink="">
      <xdr:nvSpPr>
        <xdr:cNvPr id="16" name="Seta: para a Direita 15">
          <a:extLst>
            <a:ext uri="{FF2B5EF4-FFF2-40B4-BE49-F238E27FC236}">
              <a16:creationId xmlns:a16="http://schemas.microsoft.com/office/drawing/2014/main" id="{31999A4D-CAFE-4C64-9E06-376DED7CA5C7}"/>
            </a:ext>
          </a:extLst>
        </xdr:cNvPr>
        <xdr:cNvSpPr/>
      </xdr:nvSpPr>
      <xdr:spPr>
        <a:xfrm>
          <a:off x="7239000" y="1228725"/>
          <a:ext cx="723900" cy="2857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266700</xdr:colOff>
      <xdr:row>5</xdr:row>
      <xdr:rowOff>171450</xdr:rowOff>
    </xdr:from>
    <xdr:to>
      <xdr:col>9</xdr:col>
      <xdr:colOff>990600</xdr:colOff>
      <xdr:row>7</xdr:row>
      <xdr:rowOff>76200</xdr:rowOff>
    </xdr:to>
    <xdr:sp macro="" textlink="">
      <xdr:nvSpPr>
        <xdr:cNvPr id="17" name="Seta: para a Direita 16">
          <a:extLst>
            <a:ext uri="{FF2B5EF4-FFF2-40B4-BE49-F238E27FC236}">
              <a16:creationId xmlns:a16="http://schemas.microsoft.com/office/drawing/2014/main" id="{B17F9132-583B-4F4D-90B1-554B4BBCD30A}"/>
            </a:ext>
          </a:extLst>
        </xdr:cNvPr>
        <xdr:cNvSpPr/>
      </xdr:nvSpPr>
      <xdr:spPr>
        <a:xfrm>
          <a:off x="9867900" y="1228725"/>
          <a:ext cx="723900" cy="2857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1838325</xdr:colOff>
      <xdr:row>5</xdr:row>
      <xdr:rowOff>161925</xdr:rowOff>
    </xdr:from>
    <xdr:to>
      <xdr:col>10</xdr:col>
      <xdr:colOff>2562225</xdr:colOff>
      <xdr:row>7</xdr:row>
      <xdr:rowOff>66675</xdr:rowOff>
    </xdr:to>
    <xdr:sp macro="" textlink="">
      <xdr:nvSpPr>
        <xdr:cNvPr id="18" name="Seta: para a Direita 17">
          <a:extLst>
            <a:ext uri="{FF2B5EF4-FFF2-40B4-BE49-F238E27FC236}">
              <a16:creationId xmlns:a16="http://schemas.microsoft.com/office/drawing/2014/main" id="{79A29FFF-8EC3-415C-B26C-F1FD7544FB72}"/>
            </a:ext>
          </a:extLst>
        </xdr:cNvPr>
        <xdr:cNvSpPr/>
      </xdr:nvSpPr>
      <xdr:spPr>
        <a:xfrm>
          <a:off x="12506325" y="1219200"/>
          <a:ext cx="723900" cy="2857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4476750</xdr:colOff>
      <xdr:row>5</xdr:row>
      <xdr:rowOff>142875</xdr:rowOff>
    </xdr:from>
    <xdr:to>
      <xdr:col>10</xdr:col>
      <xdr:colOff>5200650</xdr:colOff>
      <xdr:row>7</xdr:row>
      <xdr:rowOff>47625</xdr:rowOff>
    </xdr:to>
    <xdr:sp macro="" textlink="">
      <xdr:nvSpPr>
        <xdr:cNvPr id="19" name="Seta: para a Direita 18">
          <a:extLst>
            <a:ext uri="{FF2B5EF4-FFF2-40B4-BE49-F238E27FC236}">
              <a16:creationId xmlns:a16="http://schemas.microsoft.com/office/drawing/2014/main" id="{F92CE7AB-18B9-4706-AF5A-8A1DC30387E1}"/>
            </a:ext>
          </a:extLst>
        </xdr:cNvPr>
        <xdr:cNvSpPr/>
      </xdr:nvSpPr>
      <xdr:spPr>
        <a:xfrm>
          <a:off x="15144750" y="1200150"/>
          <a:ext cx="723900" cy="2857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742950</xdr:colOff>
      <xdr:row>10</xdr:row>
      <xdr:rowOff>304800</xdr:rowOff>
    </xdr:from>
    <xdr:to>
      <xdr:col>1</xdr:col>
      <xdr:colOff>209550</xdr:colOff>
      <xdr:row>11</xdr:row>
      <xdr:rowOff>238125</xdr:rowOff>
    </xdr:to>
    <xdr:sp macro="" textlink="">
      <xdr:nvSpPr>
        <xdr:cNvPr id="20" name="Sinal de Adição 19">
          <a:extLst>
            <a:ext uri="{FF2B5EF4-FFF2-40B4-BE49-F238E27FC236}">
              <a16:creationId xmlns:a16="http://schemas.microsoft.com/office/drawing/2014/main" id="{C7E95CFF-5A49-911F-B0E6-DD7D6F547216}"/>
            </a:ext>
          </a:extLst>
        </xdr:cNvPr>
        <xdr:cNvSpPr/>
      </xdr:nvSpPr>
      <xdr:spPr>
        <a:xfrm>
          <a:off x="742950" y="2314575"/>
          <a:ext cx="533400" cy="552450"/>
        </a:xfrm>
        <a:prstGeom prst="mathPlus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628650</xdr:colOff>
      <xdr:row>14</xdr:row>
      <xdr:rowOff>219074</xdr:rowOff>
    </xdr:from>
    <xdr:to>
      <xdr:col>2</xdr:col>
      <xdr:colOff>1028700</xdr:colOff>
      <xdr:row>20</xdr:row>
      <xdr:rowOff>76199</xdr:rowOff>
    </xdr:to>
    <xdr:sp macro="" textlink="">
      <xdr:nvSpPr>
        <xdr:cNvPr id="21" name="Sinal de Multiplicação 20">
          <a:extLst>
            <a:ext uri="{FF2B5EF4-FFF2-40B4-BE49-F238E27FC236}">
              <a16:creationId xmlns:a16="http://schemas.microsoft.com/office/drawing/2014/main" id="{79308500-CBB0-2DAE-A4A9-14AC430293E4}"/>
            </a:ext>
          </a:extLst>
        </xdr:cNvPr>
        <xdr:cNvSpPr/>
      </xdr:nvSpPr>
      <xdr:spPr>
        <a:xfrm>
          <a:off x="1695450" y="3562349"/>
          <a:ext cx="1466850" cy="1552575"/>
        </a:xfrm>
        <a:prstGeom prst="mathMultiply">
          <a:avLst/>
        </a:prstGeom>
        <a:gradFill flip="none" rotWithShape="1">
          <a:gsLst>
            <a:gs pos="0">
              <a:schemeClr val="accent3">
                <a:lumMod val="67000"/>
              </a:schemeClr>
            </a:gs>
            <a:gs pos="48000">
              <a:schemeClr val="accent3">
                <a:lumMod val="97000"/>
                <a:lumOff val="3000"/>
              </a:schemeClr>
            </a:gs>
            <a:gs pos="100000">
              <a:schemeClr val="accent3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95250</xdr:colOff>
      <xdr:row>11</xdr:row>
      <xdr:rowOff>200025</xdr:rowOff>
    </xdr:from>
    <xdr:to>
      <xdr:col>3</xdr:col>
      <xdr:colOff>1038225</xdr:colOff>
      <xdr:row>14</xdr:row>
      <xdr:rowOff>47625</xdr:rowOff>
    </xdr:to>
    <xdr:sp macro="" textlink="">
      <xdr:nvSpPr>
        <xdr:cNvPr id="22" name="Sinal de Divisão 21">
          <a:extLst>
            <a:ext uri="{FF2B5EF4-FFF2-40B4-BE49-F238E27FC236}">
              <a16:creationId xmlns:a16="http://schemas.microsoft.com/office/drawing/2014/main" id="{8CDE9A13-6855-0EE6-7F5D-382AAB2DADE4}"/>
            </a:ext>
          </a:extLst>
        </xdr:cNvPr>
        <xdr:cNvSpPr/>
      </xdr:nvSpPr>
      <xdr:spPr>
        <a:xfrm>
          <a:off x="3295650" y="2828925"/>
          <a:ext cx="942975" cy="561975"/>
        </a:xfrm>
        <a:prstGeom prst="mathDivide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619125</xdr:colOff>
      <xdr:row>21</xdr:row>
      <xdr:rowOff>314325</xdr:rowOff>
    </xdr:from>
    <xdr:to>
      <xdr:col>1</xdr:col>
      <xdr:colOff>904875</xdr:colOff>
      <xdr:row>26</xdr:row>
      <xdr:rowOff>0</xdr:rowOff>
    </xdr:to>
    <xdr:sp macro="" textlink="">
      <xdr:nvSpPr>
        <xdr:cNvPr id="24" name="Diferente de 23">
          <a:extLst>
            <a:ext uri="{FF2B5EF4-FFF2-40B4-BE49-F238E27FC236}">
              <a16:creationId xmlns:a16="http://schemas.microsoft.com/office/drawing/2014/main" id="{03E5C6C6-279B-DBE3-A6E6-291112F0C1D7}"/>
            </a:ext>
          </a:extLst>
        </xdr:cNvPr>
        <xdr:cNvSpPr/>
      </xdr:nvSpPr>
      <xdr:spPr>
        <a:xfrm>
          <a:off x="619125" y="5715000"/>
          <a:ext cx="1352550" cy="800100"/>
        </a:xfrm>
        <a:prstGeom prst="mathNotEqual">
          <a:avLst/>
        </a:prstGeom>
        <a:gradFill flip="none" rotWithShape="1">
          <a:gsLst>
            <a:gs pos="0">
              <a:schemeClr val="accent2">
                <a:lumMod val="67000"/>
              </a:schemeClr>
            </a:gs>
            <a:gs pos="48000">
              <a:schemeClr val="accent2">
                <a:lumMod val="97000"/>
                <a:lumOff val="3000"/>
              </a:schemeClr>
            </a:gs>
            <a:gs pos="100000">
              <a:schemeClr val="accent2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523875</xdr:colOff>
      <xdr:row>20</xdr:row>
      <xdr:rowOff>180975</xdr:rowOff>
    </xdr:from>
    <xdr:to>
      <xdr:col>3</xdr:col>
      <xdr:colOff>381000</xdr:colOff>
      <xdr:row>22</xdr:row>
      <xdr:rowOff>66675</xdr:rowOff>
    </xdr:to>
    <xdr:sp macro="" textlink="">
      <xdr:nvSpPr>
        <xdr:cNvPr id="25" name="Sinal de Subtração 24">
          <a:extLst>
            <a:ext uri="{FF2B5EF4-FFF2-40B4-BE49-F238E27FC236}">
              <a16:creationId xmlns:a16="http://schemas.microsoft.com/office/drawing/2014/main" id="{A98C24D7-F32D-2D7A-4706-34444C7C172A}"/>
            </a:ext>
          </a:extLst>
        </xdr:cNvPr>
        <xdr:cNvSpPr/>
      </xdr:nvSpPr>
      <xdr:spPr>
        <a:xfrm>
          <a:off x="2657475" y="5219700"/>
          <a:ext cx="923925" cy="600075"/>
        </a:xfrm>
        <a:prstGeom prst="mathMinus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532802</xdr:colOff>
      <xdr:row>15</xdr:row>
      <xdr:rowOff>86488</xdr:rowOff>
    </xdr:from>
    <xdr:to>
      <xdr:col>4</xdr:col>
      <xdr:colOff>996038</xdr:colOff>
      <xdr:row>19</xdr:row>
      <xdr:rowOff>28846</xdr:rowOff>
    </xdr:to>
    <xdr:sp macro="" textlink="">
      <xdr:nvSpPr>
        <xdr:cNvPr id="26" name="Seta: Curva para Cima 25">
          <a:extLst>
            <a:ext uri="{FF2B5EF4-FFF2-40B4-BE49-F238E27FC236}">
              <a16:creationId xmlns:a16="http://schemas.microsoft.com/office/drawing/2014/main" id="{29DE82D6-52C7-0F5F-D9CC-259E34217D02}"/>
            </a:ext>
          </a:extLst>
        </xdr:cNvPr>
        <xdr:cNvSpPr/>
      </xdr:nvSpPr>
      <xdr:spPr>
        <a:xfrm rot="5015269">
          <a:off x="4555616" y="4369474"/>
          <a:ext cx="952008" cy="463236"/>
        </a:xfrm>
        <a:prstGeom prst="curved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342900</xdr:colOff>
      <xdr:row>0</xdr:row>
      <xdr:rowOff>104775</xdr:rowOff>
    </xdr:from>
    <xdr:to>
      <xdr:col>10</xdr:col>
      <xdr:colOff>276225</xdr:colOff>
      <xdr:row>1</xdr:row>
      <xdr:rowOff>123825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528987-2347-6BB9-EFD4-73B424371949}"/>
            </a:ext>
          </a:extLst>
        </xdr:cNvPr>
        <xdr:cNvSpPr/>
      </xdr:nvSpPr>
      <xdr:spPr>
        <a:xfrm>
          <a:off x="10925175" y="104775"/>
          <a:ext cx="1800225" cy="371475"/>
        </a:xfrm>
        <a:prstGeom prst="roundRect">
          <a:avLst/>
        </a:prstGeom>
        <a:effectLst>
          <a:glow rad="139700">
            <a:schemeClr val="tx2">
              <a:lumMod val="60000"/>
              <a:lumOff val="40000"/>
              <a:alpha val="40000"/>
            </a:scheme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INÍCIO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showGridLines="0" showRowColHeaders="0" tabSelected="1" workbookViewId="0">
      <selection sqref="A1:K2"/>
    </sheetView>
  </sheetViews>
  <sheetFormatPr defaultRowHeight="15" x14ac:dyDescent="0.25"/>
  <cols>
    <col min="1" max="10" width="16" customWidth="1"/>
    <col min="11" max="11" width="104.85546875" customWidth="1"/>
  </cols>
  <sheetData>
    <row r="1" spans="1:11" ht="27.95" customHeight="1" x14ac:dyDescent="0.25">
      <c r="A1" s="32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8.1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8" customHeight="1" x14ac:dyDescent="0.25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19"/>
    </row>
    <row r="4" spans="1:1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x14ac:dyDescent="0.25">
      <c r="A5" s="58" t="s">
        <v>2</v>
      </c>
      <c r="B5" s="59"/>
      <c r="C5" s="59"/>
      <c r="D5" s="59"/>
      <c r="E5" s="59"/>
      <c r="F5" s="59"/>
      <c r="G5" s="59"/>
      <c r="H5" s="59"/>
      <c r="I5" s="59"/>
      <c r="J5" s="59"/>
      <c r="K5" s="60"/>
    </row>
    <row r="6" spans="1:11" x14ac:dyDescent="0.25">
      <c r="A6" s="61"/>
      <c r="B6" s="57"/>
      <c r="C6" s="57"/>
      <c r="D6" s="57"/>
      <c r="E6" s="57"/>
      <c r="F6" s="57"/>
      <c r="G6" s="57"/>
      <c r="H6" s="57"/>
      <c r="I6" s="57"/>
      <c r="J6" s="57"/>
      <c r="K6" s="62"/>
    </row>
    <row r="7" spans="1:11" x14ac:dyDescent="0.25">
      <c r="A7" s="61"/>
      <c r="B7" s="57"/>
      <c r="C7" s="57"/>
      <c r="D7" s="57"/>
      <c r="E7" s="57"/>
      <c r="F7" s="57"/>
      <c r="G7" s="57"/>
      <c r="H7" s="57"/>
      <c r="I7" s="57"/>
      <c r="J7" s="57"/>
      <c r="K7" s="62"/>
    </row>
    <row r="8" spans="1:11" x14ac:dyDescent="0.25">
      <c r="A8" s="61"/>
      <c r="B8" s="57"/>
      <c r="C8" s="57"/>
      <c r="D8" s="57"/>
      <c r="E8" s="57"/>
      <c r="F8" s="57"/>
      <c r="G8" s="57"/>
      <c r="H8" s="57"/>
      <c r="I8" s="57"/>
      <c r="J8" s="57"/>
      <c r="K8" s="62"/>
    </row>
    <row r="9" spans="1:11" x14ac:dyDescent="0.25">
      <c r="A9" s="63"/>
      <c r="B9" s="64"/>
      <c r="C9" s="64"/>
      <c r="D9" s="64"/>
      <c r="E9" s="64"/>
      <c r="F9" s="64"/>
      <c r="G9" s="64"/>
      <c r="H9" s="64"/>
      <c r="I9" s="64"/>
      <c r="J9" s="64"/>
      <c r="K9" s="65"/>
    </row>
    <row r="10" spans="1:11" x14ac:dyDescent="0.25">
      <c r="A10" s="45"/>
      <c r="B10" s="45"/>
      <c r="C10" s="45"/>
      <c r="D10" s="45"/>
      <c r="E10" s="38"/>
      <c r="F10" s="38"/>
      <c r="G10" s="38"/>
      <c r="H10" s="38"/>
      <c r="I10" s="38"/>
      <c r="J10" s="38"/>
      <c r="K10" s="38"/>
    </row>
    <row r="11" spans="1:11" ht="51.75" customHeight="1" x14ac:dyDescent="0.25">
      <c r="A11" s="55"/>
      <c r="B11" s="55"/>
      <c r="C11" s="55"/>
      <c r="D11" s="55"/>
      <c r="E11" s="38"/>
      <c r="F11" s="56" t="s">
        <v>3</v>
      </c>
      <c r="G11" s="38"/>
      <c r="H11" s="38"/>
      <c r="I11" s="38"/>
      <c r="J11" s="38"/>
      <c r="K11" s="38"/>
    </row>
    <row r="12" spans="1:11" s="37" customFormat="1" ht="40.5" customHeight="1" x14ac:dyDescent="0.25">
      <c r="A12" s="70"/>
      <c r="B12" s="70"/>
      <c r="C12" s="70"/>
      <c r="D12" s="70"/>
      <c r="E12" s="39"/>
      <c r="F12" s="69" t="s">
        <v>100</v>
      </c>
      <c r="G12" s="21"/>
      <c r="H12" s="21"/>
      <c r="I12" s="21"/>
      <c r="J12" s="21"/>
      <c r="K12" s="22"/>
    </row>
    <row r="13" spans="1:11" ht="20.100000000000001" customHeight="1" x14ac:dyDescent="0.25">
      <c r="A13" s="55"/>
      <c r="B13" s="55"/>
      <c r="C13" s="55"/>
      <c r="D13" s="55"/>
      <c r="E13" s="38"/>
      <c r="F13" s="29"/>
      <c r="G13" s="30"/>
      <c r="H13" s="30"/>
      <c r="I13" s="30"/>
      <c r="J13" s="30"/>
      <c r="K13" s="31"/>
    </row>
    <row r="14" spans="1:11" ht="24" customHeight="1" x14ac:dyDescent="0.25">
      <c r="A14" s="55"/>
      <c r="B14" s="55"/>
      <c r="C14" s="55"/>
      <c r="D14" s="55"/>
      <c r="E14" s="38"/>
      <c r="F14" s="29"/>
      <c r="G14" s="30"/>
      <c r="H14" s="30"/>
      <c r="I14" s="30"/>
      <c r="J14" s="30"/>
      <c r="K14" s="31"/>
    </row>
    <row r="15" spans="1:11" ht="24" customHeight="1" x14ac:dyDescent="0.25">
      <c r="A15" s="55"/>
      <c r="B15" s="55"/>
      <c r="C15" s="55"/>
      <c r="D15" s="55"/>
      <c r="E15" s="38"/>
      <c r="F15" s="29"/>
      <c r="G15" s="30"/>
      <c r="H15" s="30"/>
      <c r="I15" s="30"/>
      <c r="J15" s="30"/>
      <c r="K15" s="31"/>
    </row>
    <row r="16" spans="1:11" ht="17.25" customHeight="1" x14ac:dyDescent="0.25">
      <c r="A16" s="55"/>
      <c r="B16" s="55"/>
      <c r="C16" s="55"/>
      <c r="D16" s="55"/>
      <c r="E16" s="38"/>
      <c r="F16" s="23"/>
      <c r="G16" s="24"/>
      <c r="H16" s="24"/>
      <c r="I16" s="24"/>
      <c r="J16" s="24"/>
      <c r="K16" s="25"/>
    </row>
    <row r="17" spans="1:11" ht="20.100000000000001" customHeight="1" x14ac:dyDescent="0.25">
      <c r="A17" s="55"/>
      <c r="B17" s="55"/>
      <c r="C17" s="55"/>
      <c r="D17" s="55"/>
      <c r="E17" s="38"/>
      <c r="F17" s="38"/>
      <c r="G17" s="38"/>
      <c r="H17" s="38"/>
      <c r="I17" s="38"/>
      <c r="J17" s="38"/>
      <c r="K17" s="38"/>
    </row>
    <row r="18" spans="1:11" ht="23.25" customHeight="1" x14ac:dyDescent="0.3">
      <c r="A18" s="55"/>
      <c r="B18" s="55"/>
      <c r="C18" s="55"/>
      <c r="D18" s="55"/>
      <c r="E18" s="38"/>
      <c r="F18" s="74" t="s">
        <v>99</v>
      </c>
      <c r="G18" s="38"/>
      <c r="H18" s="38"/>
      <c r="I18" s="38"/>
      <c r="J18" s="38"/>
      <c r="K18" s="38"/>
    </row>
    <row r="19" spans="1:11" ht="20.100000000000001" customHeight="1" x14ac:dyDescent="0.35">
      <c r="A19" s="55"/>
      <c r="B19" s="55"/>
      <c r="C19" s="55"/>
      <c r="D19" s="55"/>
      <c r="E19" s="38"/>
      <c r="F19" s="71" t="s">
        <v>4</v>
      </c>
      <c r="G19" s="72"/>
      <c r="H19" s="72"/>
      <c r="I19" s="73"/>
      <c r="J19" s="66">
        <f>SAIDA!F8</f>
        <v>0</v>
      </c>
      <c r="K19" s="67"/>
    </row>
    <row r="20" spans="1:11" ht="21.75" customHeight="1" x14ac:dyDescent="0.35">
      <c r="A20" s="55"/>
      <c r="B20" s="55"/>
      <c r="C20" s="55"/>
      <c r="D20" s="55"/>
      <c r="E20" s="38"/>
      <c r="F20" s="71" t="s">
        <v>5</v>
      </c>
      <c r="G20" s="72"/>
      <c r="H20" s="72"/>
      <c r="I20" s="73"/>
      <c r="J20" s="66">
        <f>SAIDA!F9</f>
        <v>0</v>
      </c>
      <c r="K20" s="67"/>
    </row>
    <row r="21" spans="1:11" ht="28.5" customHeight="1" x14ac:dyDescent="0.35">
      <c r="A21" s="55"/>
      <c r="B21" s="55"/>
      <c r="C21" s="55"/>
      <c r="D21" s="55"/>
      <c r="E21" s="38"/>
      <c r="F21" s="71" t="s">
        <v>6</v>
      </c>
      <c r="G21" s="72"/>
      <c r="H21" s="72"/>
      <c r="I21" s="73"/>
      <c r="J21" s="66">
        <f>SAIDA!F10</f>
        <v>0</v>
      </c>
      <c r="K21" s="67"/>
    </row>
    <row r="22" spans="1:11" ht="27.75" customHeight="1" x14ac:dyDescent="0.35">
      <c r="A22" s="38"/>
      <c r="B22" s="38"/>
      <c r="C22" s="38"/>
      <c r="D22" s="38"/>
      <c r="E22" s="38"/>
      <c r="F22" s="71" t="s">
        <v>7</v>
      </c>
      <c r="G22" s="72"/>
      <c r="H22" s="72"/>
      <c r="I22" s="73"/>
      <c r="J22" s="68">
        <f>SAIDA!F12</f>
        <v>0</v>
      </c>
      <c r="K22" s="67"/>
    </row>
    <row r="23" spans="1:11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 spans="1:11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pans="1:11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pans="1:11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1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1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1" x14ac:dyDescent="0.25">
      <c r="F30" s="38"/>
      <c r="G30" s="38"/>
      <c r="H30" s="38"/>
      <c r="I30" s="38"/>
      <c r="J30" s="38"/>
      <c r="K30" s="38"/>
    </row>
  </sheetData>
  <mergeCells count="12">
    <mergeCell ref="A1:K2"/>
    <mergeCell ref="A5:K9"/>
    <mergeCell ref="F22:I22"/>
    <mergeCell ref="F19:I19"/>
    <mergeCell ref="J22:K22"/>
    <mergeCell ref="J21:K21"/>
    <mergeCell ref="J20:K20"/>
    <mergeCell ref="A3:K3"/>
    <mergeCell ref="J19:K19"/>
    <mergeCell ref="F21:I21"/>
    <mergeCell ref="F20:I20"/>
    <mergeCell ref="F12:K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"/>
  <sheetViews>
    <sheetView showGridLines="0" workbookViewId="0">
      <selection activeCell="O7" sqref="O7"/>
    </sheetView>
  </sheetViews>
  <sheetFormatPr defaultRowHeight="15" x14ac:dyDescent="0.25"/>
  <cols>
    <col min="1" max="1" width="34" customWidth="1"/>
    <col min="2" max="2" width="24" customWidth="1"/>
    <col min="3" max="3" width="20" style="37" customWidth="1"/>
    <col min="4" max="4" width="14" customWidth="1"/>
    <col min="5" max="5" width="23.28515625" customWidth="1"/>
    <col min="6" max="6" width="15.42578125" customWidth="1"/>
    <col min="7" max="11" width="14" customWidth="1"/>
  </cols>
  <sheetData>
    <row r="1" spans="1:11" ht="27.95" customHeight="1" x14ac:dyDescent="0.25">
      <c r="A1" s="32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8" customHeight="1" x14ac:dyDescent="0.25">
      <c r="A3" s="26" t="s">
        <v>9</v>
      </c>
      <c r="B3" s="27"/>
      <c r="C3" s="27"/>
      <c r="D3" s="27"/>
      <c r="E3" s="27"/>
      <c r="F3" s="27"/>
      <c r="G3" s="27"/>
      <c r="H3" s="27"/>
      <c r="I3" s="27"/>
      <c r="J3" s="27"/>
      <c r="K3" s="19"/>
    </row>
    <row r="4" spans="1:11" x14ac:dyDescent="0.25">
      <c r="A4" s="38"/>
      <c r="B4" s="38"/>
      <c r="C4" s="39"/>
      <c r="D4" s="38"/>
      <c r="E4" s="38"/>
      <c r="F4" s="38"/>
      <c r="G4" s="38"/>
      <c r="H4" s="38"/>
      <c r="I4" s="38"/>
      <c r="J4" s="38"/>
      <c r="K4" s="38"/>
    </row>
    <row r="5" spans="1:11" ht="17.25" x14ac:dyDescent="0.3">
      <c r="A5" s="40" t="s">
        <v>10</v>
      </c>
      <c r="B5" s="38"/>
      <c r="C5" s="39"/>
      <c r="D5" s="38"/>
      <c r="E5" s="40" t="s">
        <v>11</v>
      </c>
      <c r="F5" s="38"/>
      <c r="G5" s="38"/>
      <c r="H5" s="38"/>
      <c r="I5" s="38"/>
      <c r="J5" s="38"/>
      <c r="K5" s="38"/>
    </row>
    <row r="6" spans="1:11" ht="15" customHeight="1" x14ac:dyDescent="0.25">
      <c r="A6" s="34" t="s">
        <v>12</v>
      </c>
      <c r="B6" s="27"/>
      <c r="C6" s="19"/>
      <c r="D6" s="38"/>
      <c r="E6" s="48" t="s">
        <v>13</v>
      </c>
      <c r="F6" s="47"/>
      <c r="G6" s="46"/>
      <c r="H6" s="46"/>
      <c r="I6" s="46"/>
      <c r="J6" s="46"/>
      <c r="K6" s="46"/>
    </row>
    <row r="7" spans="1:11" ht="18.75" x14ac:dyDescent="0.25">
      <c r="A7" s="5" t="s">
        <v>14</v>
      </c>
      <c r="B7" s="6" t="s">
        <v>15</v>
      </c>
      <c r="C7" s="75">
        <v>0</v>
      </c>
      <c r="D7" s="38"/>
      <c r="E7" s="49" t="s">
        <v>16</v>
      </c>
      <c r="F7" s="81">
        <f>IF($C$10="Mensal",$C$9,(1+$C$9)^(1/12)-1)</f>
        <v>0</v>
      </c>
      <c r="G7" s="45"/>
      <c r="H7" s="45"/>
      <c r="I7" s="45"/>
      <c r="J7" s="45"/>
      <c r="K7" s="45"/>
    </row>
    <row r="8" spans="1:11" ht="30" x14ac:dyDescent="0.25">
      <c r="A8" s="5" t="s">
        <v>17</v>
      </c>
      <c r="B8" s="6" t="s">
        <v>15</v>
      </c>
      <c r="C8" s="76">
        <v>0</v>
      </c>
      <c r="D8" s="38"/>
      <c r="E8" s="50" t="s">
        <v>18</v>
      </c>
      <c r="F8" s="82">
        <f>IF($C$11="PRICE",IF($C$12&gt;= $C$8,0,PMT($F$7,$C$8-$C$12,-$C$7)),IF($C$11="SAC",IF($C$12&gt;= $C$8,0,($C$7/($C$8-$C$12)) + $C$7*$F$7),IF($C$12&gt;= $C$8,0,$C$7*$F$7)))</f>
        <v>0</v>
      </c>
      <c r="G8" s="38"/>
      <c r="H8" s="38"/>
      <c r="I8" s="38"/>
      <c r="J8" s="38"/>
      <c r="K8" s="38"/>
    </row>
    <row r="9" spans="1:11" ht="30" x14ac:dyDescent="0.25">
      <c r="A9" s="5" t="s">
        <v>19</v>
      </c>
      <c r="B9" s="6" t="s">
        <v>15</v>
      </c>
      <c r="C9" s="77">
        <v>0</v>
      </c>
      <c r="D9" s="38"/>
      <c r="E9" s="50" t="s">
        <v>20</v>
      </c>
      <c r="F9" s="82">
        <f>IF($C$11="SAC",IF($C$12&gt;= $C$8,0,$C$7/($C$8-$C$12)),0)</f>
        <v>0</v>
      </c>
      <c r="G9" s="38"/>
      <c r="H9" s="38"/>
      <c r="I9" s="38"/>
      <c r="J9" s="38"/>
      <c r="K9" s="38"/>
    </row>
    <row r="10" spans="1:11" ht="18.75" x14ac:dyDescent="0.25">
      <c r="A10" s="5" t="s">
        <v>21</v>
      </c>
      <c r="B10" s="6" t="s">
        <v>15</v>
      </c>
      <c r="C10" s="78" t="s">
        <v>97</v>
      </c>
      <c r="D10" s="38"/>
      <c r="E10" s="50" t="s">
        <v>22</v>
      </c>
      <c r="F10" s="83">
        <f>$C$8</f>
        <v>0</v>
      </c>
      <c r="G10" s="38"/>
      <c r="H10" s="38"/>
      <c r="I10" s="38"/>
      <c r="J10" s="38"/>
      <c r="K10" s="38"/>
    </row>
    <row r="11" spans="1:11" ht="22.5" customHeight="1" x14ac:dyDescent="0.25">
      <c r="A11" s="44" t="s">
        <v>23</v>
      </c>
      <c r="B11" s="52" t="s">
        <v>15</v>
      </c>
      <c r="C11" s="79" t="s">
        <v>98</v>
      </c>
      <c r="D11" s="38"/>
      <c r="E11" s="50" t="s">
        <v>25</v>
      </c>
      <c r="F11" s="84">
        <f>IFERROR(IRR(CRONOGRAMA!$J$6:$J$366),0)</f>
        <v>0</v>
      </c>
      <c r="G11" s="38"/>
      <c r="H11" s="38"/>
      <c r="I11" s="38"/>
      <c r="J11" s="38"/>
      <c r="K11" s="38"/>
    </row>
    <row r="12" spans="1:11" ht="25.5" customHeight="1" x14ac:dyDescent="0.25">
      <c r="A12" s="53" t="s">
        <v>26</v>
      </c>
      <c r="B12" s="54" t="s">
        <v>15</v>
      </c>
      <c r="C12" s="80">
        <v>0</v>
      </c>
      <c r="D12" s="38"/>
      <c r="E12" s="51" t="s">
        <v>7</v>
      </c>
      <c r="F12" s="84">
        <f>IF($F$11=0,0,(1+$F$11)^12-1)</f>
        <v>0</v>
      </c>
      <c r="G12" s="38"/>
      <c r="H12" s="38"/>
      <c r="I12" s="38"/>
      <c r="J12" s="38"/>
      <c r="K12" s="38"/>
    </row>
    <row r="13" spans="1:11" x14ac:dyDescent="0.25">
      <c r="A13" s="38"/>
      <c r="B13" s="38"/>
      <c r="C13" s="39"/>
      <c r="D13" s="38"/>
      <c r="E13" s="38"/>
      <c r="F13" s="38"/>
      <c r="G13" s="38"/>
      <c r="H13" s="38"/>
      <c r="I13" s="38"/>
      <c r="J13" s="38"/>
      <c r="K13" s="38"/>
    </row>
    <row r="14" spans="1:11" ht="17.25" x14ac:dyDescent="0.3">
      <c r="A14" s="40" t="s">
        <v>27</v>
      </c>
      <c r="B14" s="38"/>
      <c r="C14" s="39"/>
      <c r="D14" s="38"/>
      <c r="E14" s="38"/>
      <c r="F14" s="38"/>
      <c r="G14" s="38"/>
      <c r="H14" s="38"/>
      <c r="I14" s="38"/>
      <c r="J14" s="38"/>
      <c r="K14" s="38"/>
    </row>
    <row r="15" spans="1:11" x14ac:dyDescent="0.25">
      <c r="A15" s="41" t="s">
        <v>28</v>
      </c>
      <c r="B15" s="42"/>
      <c r="C15" s="43"/>
      <c r="D15" s="38"/>
      <c r="E15" s="38"/>
      <c r="F15" s="38"/>
      <c r="G15" s="38"/>
      <c r="H15" s="38"/>
      <c r="I15" s="38"/>
      <c r="J15" s="38"/>
      <c r="K15" s="38"/>
    </row>
    <row r="16" spans="1:11" ht="18.75" x14ac:dyDescent="0.25">
      <c r="A16" s="7" t="s">
        <v>29</v>
      </c>
      <c r="B16" s="8" t="s">
        <v>15</v>
      </c>
      <c r="C16" s="75">
        <v>0</v>
      </c>
      <c r="D16" s="38"/>
      <c r="E16" s="38"/>
      <c r="F16" s="38"/>
      <c r="G16" s="38"/>
      <c r="H16" s="38"/>
      <c r="I16" s="38"/>
      <c r="J16" s="38"/>
      <c r="K16" s="38"/>
    </row>
    <row r="17" spans="1:11" ht="18.75" x14ac:dyDescent="0.25">
      <c r="A17" s="7" t="s">
        <v>30</v>
      </c>
      <c r="B17" s="8" t="s">
        <v>15</v>
      </c>
      <c r="C17" s="75">
        <v>0</v>
      </c>
      <c r="D17" s="38"/>
      <c r="E17" s="38"/>
      <c r="F17" s="38"/>
      <c r="G17" s="38"/>
      <c r="H17" s="38"/>
      <c r="I17" s="38"/>
      <c r="J17" s="38"/>
      <c r="K17" s="38"/>
    </row>
    <row r="18" spans="1:11" ht="18.75" x14ac:dyDescent="0.25">
      <c r="A18" s="7" t="s">
        <v>31</v>
      </c>
      <c r="B18" s="8" t="s">
        <v>15</v>
      </c>
      <c r="C18" s="75">
        <v>0</v>
      </c>
      <c r="D18" s="38"/>
      <c r="E18" s="38"/>
      <c r="F18" s="38"/>
      <c r="G18" s="38"/>
      <c r="H18" s="38"/>
      <c r="I18" s="38"/>
      <c r="J18" s="38"/>
      <c r="K18" s="38"/>
    </row>
    <row r="19" spans="1:11" ht="18.75" x14ac:dyDescent="0.25">
      <c r="A19" s="7" t="s">
        <v>32</v>
      </c>
      <c r="B19" s="8" t="s">
        <v>15</v>
      </c>
      <c r="C19" s="77">
        <v>0</v>
      </c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38"/>
      <c r="B20" s="38"/>
      <c r="C20" s="39"/>
      <c r="D20" s="38"/>
      <c r="E20" s="38"/>
      <c r="F20" s="38"/>
      <c r="G20" s="38"/>
      <c r="H20" s="38"/>
      <c r="I20" s="38"/>
      <c r="J20" s="38"/>
      <c r="K20" s="38"/>
    </row>
    <row r="21" spans="1:11" x14ac:dyDescent="0.25">
      <c r="A21" s="33" t="s">
        <v>33</v>
      </c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11" x14ac:dyDescent="0.25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31"/>
    </row>
    <row r="23" spans="1:11" x14ac:dyDescent="0.25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5"/>
    </row>
    <row r="24" spans="1:11" x14ac:dyDescent="0.25">
      <c r="A24" s="38"/>
      <c r="B24" s="38"/>
      <c r="C24" s="39"/>
      <c r="D24" s="38"/>
      <c r="E24" s="38"/>
      <c r="F24" s="38"/>
      <c r="G24" s="38"/>
      <c r="H24" s="38"/>
      <c r="I24" s="38"/>
      <c r="J24" s="38"/>
      <c r="K24" s="38"/>
    </row>
    <row r="25" spans="1:11" x14ac:dyDescent="0.25">
      <c r="A25" s="38"/>
      <c r="B25" s="38"/>
      <c r="C25" s="39"/>
      <c r="D25" s="38"/>
      <c r="E25" s="38"/>
      <c r="F25" s="38"/>
      <c r="G25" s="38"/>
      <c r="H25" s="38"/>
      <c r="I25" s="38"/>
      <c r="J25" s="38"/>
      <c r="K25" s="38"/>
    </row>
    <row r="26" spans="1:11" x14ac:dyDescent="0.25">
      <c r="A26" s="38"/>
      <c r="B26" s="38"/>
      <c r="C26" s="39"/>
      <c r="D26" s="38"/>
      <c r="E26" s="38"/>
      <c r="F26" s="38"/>
      <c r="G26" s="38"/>
      <c r="H26" s="38"/>
      <c r="I26" s="38"/>
      <c r="J26" s="38"/>
      <c r="K26" s="38"/>
    </row>
    <row r="27" spans="1:11" x14ac:dyDescent="0.25">
      <c r="A27" s="38"/>
      <c r="B27" s="38"/>
      <c r="C27" s="39"/>
      <c r="D27" s="38"/>
      <c r="E27" s="38"/>
      <c r="F27" s="38"/>
      <c r="G27" s="38"/>
      <c r="H27" s="38"/>
      <c r="I27" s="38"/>
      <c r="J27" s="38"/>
      <c r="K27" s="38"/>
    </row>
    <row r="28" spans="1:11" x14ac:dyDescent="0.25">
      <c r="A28" s="38"/>
      <c r="B28" s="38"/>
      <c r="C28" s="39"/>
      <c r="D28" s="38"/>
      <c r="E28" s="38"/>
      <c r="F28" s="38"/>
      <c r="G28" s="38"/>
      <c r="H28" s="38"/>
      <c r="I28" s="38"/>
      <c r="J28" s="38"/>
      <c r="K28" s="38"/>
    </row>
    <row r="29" spans="1:11" x14ac:dyDescent="0.25">
      <c r="A29" s="38"/>
      <c r="B29" s="38"/>
      <c r="C29" s="39"/>
      <c r="D29" s="38"/>
      <c r="E29" s="38"/>
      <c r="F29" s="38"/>
      <c r="G29" s="38"/>
      <c r="H29" s="38"/>
      <c r="I29" s="38"/>
      <c r="J29" s="38"/>
      <c r="K29" s="38"/>
    </row>
    <row r="30" spans="1:11" x14ac:dyDescent="0.25">
      <c r="A30" s="38"/>
      <c r="B30" s="38"/>
      <c r="C30" s="39"/>
      <c r="D30" s="38"/>
      <c r="E30" s="38"/>
      <c r="F30" s="38"/>
      <c r="G30" s="38"/>
      <c r="H30" s="38"/>
      <c r="I30" s="38"/>
      <c r="J30" s="38"/>
      <c r="K30" s="38"/>
    </row>
  </sheetData>
  <sheetProtection selectLockedCells="1" selectUnlockedCells="1"/>
  <dataConsolidate/>
  <mergeCells count="6">
    <mergeCell ref="A21:K23"/>
    <mergeCell ref="E6:F6"/>
    <mergeCell ref="A3:K3"/>
    <mergeCell ref="A6:C6"/>
    <mergeCell ref="A15:C15"/>
    <mergeCell ref="A1:K2"/>
  </mergeCells>
  <dataValidations disablePrompts="1" count="2">
    <dataValidation type="list" allowBlank="1" showInputMessage="1" showErrorMessage="1" sqref="C10" xr:uid="{B7FA6B9F-8393-4915-82F6-5FB1E5C78047}">
      <formula1>"Mensal, Anual"</formula1>
    </dataValidation>
    <dataValidation type="list" allowBlank="1" showInputMessage="1" showErrorMessage="1" sqref="C11" xr:uid="{9668521D-9A0A-45C0-B53C-0162E285C287}">
      <formula1>"Price, Sac, Americano"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showGridLines="0" workbookViewId="0">
      <selection activeCell="H4" sqref="H4:I4"/>
    </sheetView>
  </sheetViews>
  <sheetFormatPr defaultRowHeight="15" x14ac:dyDescent="0.25"/>
  <cols>
    <col min="1" max="1" width="3" customWidth="1"/>
    <col min="2" max="3" width="22" customWidth="1"/>
    <col min="4" max="4" width="3" customWidth="1"/>
    <col min="5" max="5" width="22" customWidth="1"/>
    <col min="6" max="6" width="22" style="91" customWidth="1"/>
    <col min="7" max="7" width="3" customWidth="1"/>
    <col min="8" max="9" width="22" customWidth="1"/>
    <col min="10" max="11" width="3" customWidth="1"/>
  </cols>
  <sheetData>
    <row r="1" spans="1:11" ht="27.95" customHeight="1" x14ac:dyDescent="0.25">
      <c r="A1" s="32" t="s">
        <v>34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8" customHeight="1" x14ac:dyDescent="0.25">
      <c r="A3" s="26" t="s">
        <v>35</v>
      </c>
      <c r="B3" s="27"/>
      <c r="C3" s="27"/>
      <c r="D3" s="27"/>
      <c r="E3" s="27"/>
      <c r="F3" s="27"/>
      <c r="G3" s="27"/>
      <c r="H3" s="27"/>
      <c r="I3" s="27"/>
      <c r="J3" s="27"/>
      <c r="K3" s="19"/>
    </row>
    <row r="4" spans="1:11" x14ac:dyDescent="0.25">
      <c r="H4" s="20" t="str">
        <f>HYPERLINK("#'DADOS'!A1","← Voltar para DADOS")</f>
        <v>← Voltar para DADOS</v>
      </c>
      <c r="I4" s="19"/>
    </row>
    <row r="6" spans="1:11" ht="17.25" x14ac:dyDescent="0.3">
      <c r="B6" s="2" t="s">
        <v>36</v>
      </c>
      <c r="E6" s="2" t="s">
        <v>37</v>
      </c>
    </row>
    <row r="7" spans="1:11" ht="18.75" x14ac:dyDescent="0.25">
      <c r="B7" s="1" t="s">
        <v>38</v>
      </c>
      <c r="C7" s="9">
        <f>DADOS!$C$7</f>
        <v>0</v>
      </c>
      <c r="E7" s="10" t="s">
        <v>39</v>
      </c>
      <c r="F7" s="89">
        <f>DADOS!$F$7</f>
        <v>0</v>
      </c>
    </row>
    <row r="8" spans="1:11" ht="30" x14ac:dyDescent="0.25">
      <c r="B8" s="1" t="s">
        <v>40</v>
      </c>
      <c r="C8" s="86">
        <f>DADOS!$C$8</f>
        <v>0</v>
      </c>
      <c r="E8" s="3" t="s">
        <v>41</v>
      </c>
      <c r="F8" s="90">
        <f>CRONOGRAMA!H7</f>
        <v>0</v>
      </c>
    </row>
    <row r="9" spans="1:11" ht="18.75" x14ac:dyDescent="0.25">
      <c r="B9" s="1" t="s">
        <v>19</v>
      </c>
      <c r="C9" s="87">
        <f>DADOS!$C$9</f>
        <v>0</v>
      </c>
      <c r="E9" s="3" t="s">
        <v>5</v>
      </c>
      <c r="F9" s="90">
        <f>SUM(CRONOGRAMA!$H$7:$H$366)</f>
        <v>0</v>
      </c>
    </row>
    <row r="10" spans="1:11" ht="18.75" x14ac:dyDescent="0.25">
      <c r="B10" s="1" t="s">
        <v>21</v>
      </c>
      <c r="C10" s="85" t="str">
        <f>DADOS!$C$10</f>
        <v>Anual</v>
      </c>
      <c r="E10" s="3" t="s">
        <v>6</v>
      </c>
      <c r="F10" s="90">
        <f>SUM(CRONOGRAMA!$D$7:$D$366)</f>
        <v>0</v>
      </c>
    </row>
    <row r="11" spans="1:11" ht="18.75" x14ac:dyDescent="0.25">
      <c r="B11" s="1" t="s">
        <v>42</v>
      </c>
      <c r="C11" s="85" t="str">
        <f>DADOS!$C$11</f>
        <v>Price</v>
      </c>
      <c r="E11" s="3" t="s">
        <v>25</v>
      </c>
      <c r="F11" s="89">
        <f>DADOS!$F$11</f>
        <v>0</v>
      </c>
    </row>
    <row r="12" spans="1:11" ht="18.75" x14ac:dyDescent="0.25">
      <c r="B12" s="1" t="s">
        <v>43</v>
      </c>
      <c r="C12" s="86">
        <f>DADOS!$C$12</f>
        <v>0</v>
      </c>
      <c r="E12" s="3" t="s">
        <v>7</v>
      </c>
      <c r="F12" s="89">
        <f>DADOS!$F$12</f>
        <v>0</v>
      </c>
    </row>
    <row r="13" spans="1:11" ht="30" x14ac:dyDescent="0.25">
      <c r="E13" s="3" t="s">
        <v>44</v>
      </c>
      <c r="F13" s="90">
        <f>INDEX(CRONOGRAMA!$I$7:$I$366,DADOS!$C$8)</f>
        <v>0</v>
      </c>
    </row>
    <row r="16" spans="1:11" x14ac:dyDescent="0.25">
      <c r="B16" s="28" t="s">
        <v>45</v>
      </c>
      <c r="C16" s="27"/>
      <c r="D16" s="27"/>
      <c r="E16" s="27"/>
      <c r="F16" s="19"/>
    </row>
    <row r="17" spans="2:6" x14ac:dyDescent="0.25">
      <c r="B17" s="28" t="s">
        <v>46</v>
      </c>
      <c r="C17" s="21"/>
      <c r="D17" s="21"/>
      <c r="E17" s="21"/>
      <c r="F17" s="22"/>
    </row>
    <row r="18" spans="2:6" x14ac:dyDescent="0.25">
      <c r="B18" s="29"/>
      <c r="C18" s="30"/>
      <c r="D18" s="30"/>
      <c r="E18" s="30"/>
      <c r="F18" s="31"/>
    </row>
    <row r="19" spans="2:6" x14ac:dyDescent="0.25">
      <c r="B19" s="29"/>
      <c r="C19" s="30"/>
      <c r="D19" s="30"/>
      <c r="E19" s="30"/>
      <c r="F19" s="31"/>
    </row>
    <row r="20" spans="2:6" x14ac:dyDescent="0.25">
      <c r="B20" s="29"/>
      <c r="C20" s="30"/>
      <c r="D20" s="30"/>
      <c r="E20" s="30"/>
      <c r="F20" s="31"/>
    </row>
    <row r="21" spans="2:6" x14ac:dyDescent="0.25">
      <c r="B21" s="29"/>
      <c r="C21" s="30"/>
      <c r="D21" s="30"/>
      <c r="E21" s="30"/>
      <c r="F21" s="31"/>
    </row>
    <row r="22" spans="2:6" x14ac:dyDescent="0.25">
      <c r="B22" s="23"/>
      <c r="C22" s="24"/>
      <c r="D22" s="24"/>
      <c r="E22" s="24"/>
      <c r="F22" s="25"/>
    </row>
  </sheetData>
  <mergeCells count="5">
    <mergeCell ref="A3:K3"/>
    <mergeCell ref="B16:F16"/>
    <mergeCell ref="B17:F22"/>
    <mergeCell ref="H4:I4"/>
    <mergeCell ref="A1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66"/>
  <sheetViews>
    <sheetView showGridLines="0" workbookViewId="0">
      <selection activeCell="Q6" sqref="Q6"/>
    </sheetView>
  </sheetViews>
  <sheetFormatPr defaultRowHeight="15" x14ac:dyDescent="0.25"/>
  <cols>
    <col min="1" max="1" width="10" customWidth="1"/>
    <col min="2" max="2" width="18" customWidth="1"/>
    <col min="3" max="3" width="16" customWidth="1"/>
    <col min="4" max="4" width="14" customWidth="1"/>
    <col min="5" max="5" width="16" customWidth="1"/>
    <col min="6" max="7" width="12" customWidth="1"/>
    <col min="8" max="8" width="16" customWidth="1"/>
    <col min="9" max="9" width="18" customWidth="1"/>
    <col min="10" max="10" width="19.5703125" customWidth="1"/>
    <col min="11" max="11" width="0.28515625" customWidth="1"/>
    <col min="12" max="12" width="21.140625" hidden="1" customWidth="1"/>
    <col min="13" max="13" width="15.5703125" hidden="1" customWidth="1"/>
  </cols>
  <sheetData>
    <row r="1" spans="1:13" ht="27.95" customHeight="1" x14ac:dyDescent="0.25">
      <c r="A1" s="32" t="s">
        <v>47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3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12" t="s">
        <v>48</v>
      </c>
      <c r="M2" s="12">
        <f>DADOS!$F$7</f>
        <v>0</v>
      </c>
    </row>
    <row r="3" spans="1:13" ht="18" customHeight="1" x14ac:dyDescent="0.25">
      <c r="A3" s="26" t="s">
        <v>49</v>
      </c>
      <c r="B3" s="27"/>
      <c r="C3" s="27"/>
      <c r="D3" s="27"/>
      <c r="E3" s="27"/>
      <c r="F3" s="27"/>
      <c r="G3" s="27"/>
      <c r="H3" s="27"/>
      <c r="I3" s="27"/>
      <c r="J3" s="27"/>
      <c r="K3" s="19"/>
      <c r="L3" s="12" t="s">
        <v>50</v>
      </c>
      <c r="M3" s="12">
        <f>DADOS!$C$8</f>
        <v>0</v>
      </c>
    </row>
    <row r="4" spans="1:13" x14ac:dyDescent="0.25">
      <c r="J4" s="20" t="str">
        <f>HYPERLINK("#'DADOS'!A1","← Voltar para DADOS")</f>
        <v>← Voltar para DADOS</v>
      </c>
      <c r="K4" s="19"/>
      <c r="L4" s="12" t="s">
        <v>51</v>
      </c>
      <c r="M4" s="12">
        <f>DADOS!$C$12</f>
        <v>0</v>
      </c>
    </row>
    <row r="5" spans="1:13" ht="60" x14ac:dyDescent="0.25">
      <c r="A5" s="11" t="s">
        <v>52</v>
      </c>
      <c r="B5" s="11" t="s">
        <v>53</v>
      </c>
      <c r="C5" s="11" t="s">
        <v>54</v>
      </c>
      <c r="D5" s="11" t="s">
        <v>55</v>
      </c>
      <c r="E5" s="11" t="s">
        <v>56</v>
      </c>
      <c r="F5" s="11" t="s">
        <v>57</v>
      </c>
      <c r="G5" s="11" t="s">
        <v>58</v>
      </c>
      <c r="H5" s="11" t="s">
        <v>59</v>
      </c>
      <c r="I5" s="11" t="s">
        <v>60</v>
      </c>
      <c r="J5" s="11" t="s">
        <v>61</v>
      </c>
      <c r="L5" s="12" t="s">
        <v>62</v>
      </c>
      <c r="M5" s="12">
        <f>MAX(0,M3-M4)</f>
        <v>0</v>
      </c>
    </row>
    <row r="6" spans="1:13" ht="60" x14ac:dyDescent="0.25">
      <c r="A6" s="13">
        <v>0</v>
      </c>
      <c r="B6" s="14">
        <v>0</v>
      </c>
      <c r="C6" s="14"/>
      <c r="D6" s="14"/>
      <c r="E6" s="14"/>
      <c r="F6" s="14"/>
      <c r="G6" s="14"/>
      <c r="H6" s="14"/>
      <c r="I6" s="14">
        <v>0</v>
      </c>
      <c r="J6" s="14">
        <f>DADOS!$C$7 - DADOS!$C$16 - DADOS!$C$17</f>
        <v>0</v>
      </c>
      <c r="L6" s="12" t="s">
        <v>63</v>
      </c>
      <c r="M6" s="12">
        <f>IF(M5=0,0,PMT(M2,M5,-DADOS!$C$7))</f>
        <v>0</v>
      </c>
    </row>
    <row r="7" spans="1:13" ht="22.5" customHeight="1" x14ac:dyDescent="0.25">
      <c r="A7" s="35">
        <v>1</v>
      </c>
      <c r="B7" s="36">
        <f>IF(A7&gt;$M$3,0,IF(A7=1,DADOS!$C$7,I6))</f>
        <v>0</v>
      </c>
      <c r="C7" s="36">
        <f>IF(A7&gt;$M$3,0,IF(DADOS!$C$11="PRICE",IF(A7&lt;=$M$4,0,MAX(0,E7-D7)),IF(DADOS!$C$11="SAC",IF(A7&lt;=$M$4,0,MIN($M$7,B7)),IF(DADOS!$C$11="AMERICANO",IF(A7=$M$3,MIN(DADOS!$C$7,B7),0),0))))</f>
        <v>0</v>
      </c>
      <c r="D7" s="36">
        <f t="shared" ref="D7:D70" si="0">IF(A7&gt;$M$3,0,B7*$M$2)</f>
        <v>0</v>
      </c>
      <c r="E7" s="36">
        <f>IF(A7&gt;$M$3,0,IF(DADOS!$C$11="PRICE",IF(A7&lt;=$M$4,D7,$M$6),IF(DADOS!$C$11="SAC",IF(A7&lt;=$M$4,D7,$M$7 + D7),IF(DADOS!$C$11="AMERICANO",IF(A7&lt;$M$3,D7,D7+C7),0))))</f>
        <v>0</v>
      </c>
      <c r="F7" s="36">
        <f>IF(A7&gt;$M$3,0,DADOS!$C$18)</f>
        <v>0</v>
      </c>
      <c r="G7" s="36">
        <f>IF(A7&gt;$M$3,0,B7*DADOS!$C$19)</f>
        <v>0</v>
      </c>
      <c r="H7" s="36">
        <f t="shared" ref="H7:H70" si="1">IF(A7&gt;$M$3,0,E7+F7+G7)</f>
        <v>0</v>
      </c>
      <c r="I7" s="36">
        <f t="shared" ref="I7:I70" si="2">IF(A7&gt;$M$3,0,MAX(0,B7-C7))</f>
        <v>0</v>
      </c>
      <c r="J7" s="36">
        <f t="shared" ref="J7:J70" si="3">IF(A7&gt;$M$3,0,-H7)</f>
        <v>0</v>
      </c>
      <c r="L7" s="12" t="s">
        <v>64</v>
      </c>
      <c r="M7" s="12">
        <f>IF(M5=0,0,DADOS!$C$7/M5)</f>
        <v>0</v>
      </c>
    </row>
    <row r="8" spans="1:13" x14ac:dyDescent="0.25">
      <c r="A8" s="15">
        <v>2</v>
      </c>
      <c r="B8" s="14">
        <f>IF(A8&gt;$M$3,0,IF(A8=1,DADOS!$C$7,I7))</f>
        <v>0</v>
      </c>
      <c r="C8" s="14">
        <f>IF(A8&gt;$M$3,0,IF(DADOS!$C$11="PRICE",IF(A8&lt;=$M$4,0,MAX(0,E8-D8)),IF(DADOS!$C$11="SAC",IF(A8&lt;=$M$4,0,MIN($M$7,B8)),IF(DADOS!$C$11="AMERICANO",IF(A8=$M$3,MIN(DADOS!$C$7,B8),0),0))))</f>
        <v>0</v>
      </c>
      <c r="D8" s="14">
        <f t="shared" si="0"/>
        <v>0</v>
      </c>
      <c r="E8" s="14">
        <f>IF(A8&gt;$M$3,0,IF(DADOS!$C$11="PRICE",IF(A8&lt;=$M$4,D8,$M$6),IF(DADOS!$C$11="SAC",IF(A8&lt;=$M$4,D8,$M$7 + D8),IF(DADOS!$C$11="AMERICANO",IF(A8&lt;$M$3,D8,D8+C8),0))))</f>
        <v>0</v>
      </c>
      <c r="F8" s="14">
        <f>IF(A8&gt;$M$3,0,DADOS!$C$18)</f>
        <v>0</v>
      </c>
      <c r="G8" s="14">
        <f>IF(A8&gt;$M$3,0,B8*DADOS!$C$19)</f>
        <v>0</v>
      </c>
      <c r="H8" s="14">
        <f t="shared" si="1"/>
        <v>0</v>
      </c>
      <c r="I8" s="14">
        <f t="shared" si="2"/>
        <v>0</v>
      </c>
      <c r="J8" s="14">
        <f t="shared" si="3"/>
        <v>0</v>
      </c>
    </row>
    <row r="9" spans="1:13" x14ac:dyDescent="0.25">
      <c r="A9" s="15">
        <v>3</v>
      </c>
      <c r="B9" s="14">
        <f>IF(A9&gt;$M$3,0,IF(A9=1,DADOS!$C$7,I8))</f>
        <v>0</v>
      </c>
      <c r="C9" s="14">
        <f>IF(A9&gt;$M$3,0,IF(DADOS!$C$11="PRICE",IF(A9&lt;=$M$4,0,MAX(0,E9-D9)),IF(DADOS!$C$11="SAC",IF(A9&lt;=$M$4,0,MIN($M$7,B9)),IF(DADOS!$C$11="AMERICANO",IF(A9=$M$3,MIN(DADOS!$C$7,B9),0),0))))</f>
        <v>0</v>
      </c>
      <c r="D9" s="14">
        <f t="shared" si="0"/>
        <v>0</v>
      </c>
      <c r="E9" s="14">
        <f>IF(A9&gt;$M$3,0,IF(DADOS!$C$11="PRICE",IF(A9&lt;=$M$4,D9,$M$6),IF(DADOS!$C$11="SAC",IF(A9&lt;=$M$4,D9,$M$7 + D9),IF(DADOS!$C$11="AMERICANO",IF(A9&lt;$M$3,D9,D9+C9),0))))</f>
        <v>0</v>
      </c>
      <c r="F9" s="14">
        <f>IF(A9&gt;$M$3,0,DADOS!$C$18)</f>
        <v>0</v>
      </c>
      <c r="G9" s="14">
        <f>IF(A9&gt;$M$3,0,B9*DADOS!$C$19)</f>
        <v>0</v>
      </c>
      <c r="H9" s="14">
        <f t="shared" si="1"/>
        <v>0</v>
      </c>
      <c r="I9" s="14">
        <f t="shared" si="2"/>
        <v>0</v>
      </c>
      <c r="J9" s="14">
        <f t="shared" si="3"/>
        <v>0</v>
      </c>
    </row>
    <row r="10" spans="1:13" x14ac:dyDescent="0.25">
      <c r="A10" s="15">
        <v>4</v>
      </c>
      <c r="B10" s="14">
        <f>IF(A10&gt;$M$3,0,IF(A10=1,DADOS!$C$7,I9))</f>
        <v>0</v>
      </c>
      <c r="C10" s="14">
        <f>IF(A10&gt;$M$3,0,IF(DADOS!$C$11="PRICE",IF(A10&lt;=$M$4,0,MAX(0,E10-D10)),IF(DADOS!$C$11="SAC",IF(A10&lt;=$M$4,0,MIN($M$7,B10)),IF(DADOS!$C$11="AMERICANO",IF(A10=$M$3,MIN(DADOS!$C$7,B10),0),0))))</f>
        <v>0</v>
      </c>
      <c r="D10" s="14">
        <f t="shared" si="0"/>
        <v>0</v>
      </c>
      <c r="E10" s="14">
        <f>IF(A10&gt;$M$3,0,IF(DADOS!$C$11="PRICE",IF(A10&lt;=$M$4,D10,$M$6),IF(DADOS!$C$11="SAC",IF(A10&lt;=$M$4,D10,$M$7 + D10),IF(DADOS!$C$11="AMERICANO",IF(A10&lt;$M$3,D10,D10+C10),0))))</f>
        <v>0</v>
      </c>
      <c r="F10" s="14">
        <f>IF(A10&gt;$M$3,0,DADOS!$C$18)</f>
        <v>0</v>
      </c>
      <c r="G10" s="14">
        <f>IF(A10&gt;$M$3,0,B10*DADOS!$C$19)</f>
        <v>0</v>
      </c>
      <c r="H10" s="14">
        <f t="shared" si="1"/>
        <v>0</v>
      </c>
      <c r="I10" s="14">
        <f t="shared" si="2"/>
        <v>0</v>
      </c>
      <c r="J10" s="14">
        <f t="shared" si="3"/>
        <v>0</v>
      </c>
    </row>
    <row r="11" spans="1:13" x14ac:dyDescent="0.25">
      <c r="A11" s="15">
        <v>5</v>
      </c>
      <c r="B11" s="14">
        <f>IF(A11&gt;$M$3,0,IF(A11=1,DADOS!$C$7,I10))</f>
        <v>0</v>
      </c>
      <c r="C11" s="14">
        <f>IF(A11&gt;$M$3,0,IF(DADOS!$C$11="PRICE",IF(A11&lt;=$M$4,0,MAX(0,E11-D11)),IF(DADOS!$C$11="SAC",IF(A11&lt;=$M$4,0,MIN($M$7,B11)),IF(DADOS!$C$11="AMERICANO",IF(A11=$M$3,MIN(DADOS!$C$7,B11),0),0))))</f>
        <v>0</v>
      </c>
      <c r="D11" s="14">
        <f t="shared" si="0"/>
        <v>0</v>
      </c>
      <c r="E11" s="14">
        <f>IF(A11&gt;$M$3,0,IF(DADOS!$C$11="PRICE",IF(A11&lt;=$M$4,D11,$M$6),IF(DADOS!$C$11="SAC",IF(A11&lt;=$M$4,D11,$M$7 + D11),IF(DADOS!$C$11="AMERICANO",IF(A11&lt;$M$3,D11,D11+C11),0))))</f>
        <v>0</v>
      </c>
      <c r="F11" s="14">
        <f>IF(A11&gt;$M$3,0,DADOS!$C$18)</f>
        <v>0</v>
      </c>
      <c r="G11" s="14">
        <f>IF(A11&gt;$M$3,0,B11*DADOS!$C$19)</f>
        <v>0</v>
      </c>
      <c r="H11" s="14">
        <f t="shared" si="1"/>
        <v>0</v>
      </c>
      <c r="I11" s="14">
        <f t="shared" si="2"/>
        <v>0</v>
      </c>
      <c r="J11" s="14">
        <f t="shared" si="3"/>
        <v>0</v>
      </c>
    </row>
    <row r="12" spans="1:13" x14ac:dyDescent="0.25">
      <c r="A12" s="15">
        <v>6</v>
      </c>
      <c r="B12" s="14">
        <f>IF(A12&gt;$M$3,0,IF(A12=1,DADOS!$C$7,I11))</f>
        <v>0</v>
      </c>
      <c r="C12" s="14">
        <f>IF(A12&gt;$M$3,0,IF(DADOS!$C$11="PRICE",IF(A12&lt;=$M$4,0,MAX(0,E12-D12)),IF(DADOS!$C$11="SAC",IF(A12&lt;=$M$4,0,MIN($M$7,B12)),IF(DADOS!$C$11="AMERICANO",IF(A12=$M$3,MIN(DADOS!$C$7,B12),0),0))))</f>
        <v>0</v>
      </c>
      <c r="D12" s="14">
        <f t="shared" si="0"/>
        <v>0</v>
      </c>
      <c r="E12" s="14">
        <f>IF(A12&gt;$M$3,0,IF(DADOS!$C$11="PRICE",IF(A12&lt;=$M$4,D12,$M$6),IF(DADOS!$C$11="SAC",IF(A12&lt;=$M$4,D12,$M$7 + D12),IF(DADOS!$C$11="AMERICANO",IF(A12&lt;$M$3,D12,D12+C12),0))))</f>
        <v>0</v>
      </c>
      <c r="F12" s="14">
        <f>IF(A12&gt;$M$3,0,DADOS!$C$18)</f>
        <v>0</v>
      </c>
      <c r="G12" s="14">
        <f>IF(A12&gt;$M$3,0,B12*DADOS!$C$19)</f>
        <v>0</v>
      </c>
      <c r="H12" s="14">
        <f t="shared" si="1"/>
        <v>0</v>
      </c>
      <c r="I12" s="14">
        <f t="shared" si="2"/>
        <v>0</v>
      </c>
      <c r="J12" s="14">
        <f t="shared" si="3"/>
        <v>0</v>
      </c>
    </row>
    <row r="13" spans="1:13" x14ac:dyDescent="0.25">
      <c r="A13" s="15">
        <v>7</v>
      </c>
      <c r="B13" s="14">
        <f>IF(A13&gt;$M$3,0,IF(A13=1,DADOS!$C$7,I12))</f>
        <v>0</v>
      </c>
      <c r="C13" s="14">
        <f>IF(A13&gt;$M$3,0,IF(DADOS!$C$11="PRICE",IF(A13&lt;=$M$4,0,MAX(0,E13-D13)),IF(DADOS!$C$11="SAC",IF(A13&lt;=$M$4,0,MIN($M$7,B13)),IF(DADOS!$C$11="AMERICANO",IF(A13=$M$3,MIN(DADOS!$C$7,B13),0),0))))</f>
        <v>0</v>
      </c>
      <c r="D13" s="14">
        <f t="shared" si="0"/>
        <v>0</v>
      </c>
      <c r="E13" s="14">
        <f>IF(A13&gt;$M$3,0,IF(DADOS!$C$11="PRICE",IF(A13&lt;=$M$4,D13,$M$6),IF(DADOS!$C$11="SAC",IF(A13&lt;=$M$4,D13,$M$7 + D13),IF(DADOS!$C$11="AMERICANO",IF(A13&lt;$M$3,D13,D13+C13),0))))</f>
        <v>0</v>
      </c>
      <c r="F13" s="14">
        <f>IF(A13&gt;$M$3,0,DADOS!$C$18)</f>
        <v>0</v>
      </c>
      <c r="G13" s="14">
        <f>IF(A13&gt;$M$3,0,B13*DADOS!$C$19)</f>
        <v>0</v>
      </c>
      <c r="H13" s="14">
        <f t="shared" si="1"/>
        <v>0</v>
      </c>
      <c r="I13" s="14">
        <f t="shared" si="2"/>
        <v>0</v>
      </c>
      <c r="J13" s="14">
        <f t="shared" si="3"/>
        <v>0</v>
      </c>
    </row>
    <row r="14" spans="1:13" x14ac:dyDescent="0.25">
      <c r="A14" s="15">
        <v>8</v>
      </c>
      <c r="B14" s="14">
        <f>IF(A14&gt;$M$3,0,IF(A14=1,DADOS!$C$7,I13))</f>
        <v>0</v>
      </c>
      <c r="C14" s="14">
        <f>IF(A14&gt;$M$3,0,IF(DADOS!$C$11="PRICE",IF(A14&lt;=$M$4,0,MAX(0,E14-D14)),IF(DADOS!$C$11="SAC",IF(A14&lt;=$M$4,0,MIN($M$7,B14)),IF(DADOS!$C$11="AMERICANO",IF(A14=$M$3,MIN(DADOS!$C$7,B14),0),0))))</f>
        <v>0</v>
      </c>
      <c r="D14" s="14">
        <f t="shared" si="0"/>
        <v>0</v>
      </c>
      <c r="E14" s="14">
        <f>IF(A14&gt;$M$3,0,IF(DADOS!$C$11="PRICE",IF(A14&lt;=$M$4,D14,$M$6),IF(DADOS!$C$11="SAC",IF(A14&lt;=$M$4,D14,$M$7 + D14),IF(DADOS!$C$11="AMERICANO",IF(A14&lt;$M$3,D14,D14+C14),0))))</f>
        <v>0</v>
      </c>
      <c r="F14" s="14">
        <f>IF(A14&gt;$M$3,0,DADOS!$C$18)</f>
        <v>0</v>
      </c>
      <c r="G14" s="14">
        <f>IF(A14&gt;$M$3,0,B14*DADOS!$C$19)</f>
        <v>0</v>
      </c>
      <c r="H14" s="14">
        <f t="shared" si="1"/>
        <v>0</v>
      </c>
      <c r="I14" s="14">
        <f t="shared" si="2"/>
        <v>0</v>
      </c>
      <c r="J14" s="14">
        <f t="shared" si="3"/>
        <v>0</v>
      </c>
    </row>
    <row r="15" spans="1:13" x14ac:dyDescent="0.25">
      <c r="A15" s="15">
        <v>9</v>
      </c>
      <c r="B15" s="14">
        <f>IF(A15&gt;$M$3,0,IF(A15=1,DADOS!$C$7,I14))</f>
        <v>0</v>
      </c>
      <c r="C15" s="14">
        <f>IF(A15&gt;$M$3,0,IF(DADOS!$C$11="PRICE",IF(A15&lt;=$M$4,0,MAX(0,E15-D15)),IF(DADOS!$C$11="SAC",IF(A15&lt;=$M$4,0,MIN($M$7,B15)),IF(DADOS!$C$11="AMERICANO",IF(A15=$M$3,MIN(DADOS!$C$7,B15),0),0))))</f>
        <v>0</v>
      </c>
      <c r="D15" s="14">
        <f t="shared" si="0"/>
        <v>0</v>
      </c>
      <c r="E15" s="14">
        <f>IF(A15&gt;$M$3,0,IF(DADOS!$C$11="PRICE",IF(A15&lt;=$M$4,D15,$M$6),IF(DADOS!$C$11="SAC",IF(A15&lt;=$M$4,D15,$M$7 + D15),IF(DADOS!$C$11="AMERICANO",IF(A15&lt;$M$3,D15,D15+C15),0))))</f>
        <v>0</v>
      </c>
      <c r="F15" s="14">
        <f>IF(A15&gt;$M$3,0,DADOS!$C$18)</f>
        <v>0</v>
      </c>
      <c r="G15" s="14">
        <f>IF(A15&gt;$M$3,0,B15*DADOS!$C$19)</f>
        <v>0</v>
      </c>
      <c r="H15" s="14">
        <f t="shared" si="1"/>
        <v>0</v>
      </c>
      <c r="I15" s="14">
        <f t="shared" si="2"/>
        <v>0</v>
      </c>
      <c r="J15" s="14">
        <f t="shared" si="3"/>
        <v>0</v>
      </c>
    </row>
    <row r="16" spans="1:13" x14ac:dyDescent="0.25">
      <c r="A16" s="15">
        <v>10</v>
      </c>
      <c r="B16" s="14">
        <f>IF(A16&gt;$M$3,0,IF(A16=1,DADOS!$C$7,I15))</f>
        <v>0</v>
      </c>
      <c r="C16" s="14">
        <f>IF(A16&gt;$M$3,0,IF(DADOS!$C$11="PRICE",IF(A16&lt;=$M$4,0,MAX(0,E16-D16)),IF(DADOS!$C$11="SAC",IF(A16&lt;=$M$4,0,MIN($M$7,B16)),IF(DADOS!$C$11="AMERICANO",IF(A16=$M$3,MIN(DADOS!$C$7,B16),0),0))))</f>
        <v>0</v>
      </c>
      <c r="D16" s="14">
        <f t="shared" si="0"/>
        <v>0</v>
      </c>
      <c r="E16" s="14">
        <f>IF(A16&gt;$M$3,0,IF(DADOS!$C$11="PRICE",IF(A16&lt;=$M$4,D16,$M$6),IF(DADOS!$C$11="SAC",IF(A16&lt;=$M$4,D16,$M$7 + D16),IF(DADOS!$C$11="AMERICANO",IF(A16&lt;$M$3,D16,D16+C16),0))))</f>
        <v>0</v>
      </c>
      <c r="F16" s="14">
        <f>IF(A16&gt;$M$3,0,DADOS!$C$18)</f>
        <v>0</v>
      </c>
      <c r="G16" s="14">
        <f>IF(A16&gt;$M$3,0,B16*DADOS!$C$19)</f>
        <v>0</v>
      </c>
      <c r="H16" s="14">
        <f t="shared" si="1"/>
        <v>0</v>
      </c>
      <c r="I16" s="14">
        <f t="shared" si="2"/>
        <v>0</v>
      </c>
      <c r="J16" s="14">
        <f t="shared" si="3"/>
        <v>0</v>
      </c>
    </row>
    <row r="17" spans="1:10" x14ac:dyDescent="0.25">
      <c r="A17" s="15">
        <v>11</v>
      </c>
      <c r="B17" s="14">
        <f>IF(A17&gt;$M$3,0,IF(A17=1,DADOS!$C$7,I16))</f>
        <v>0</v>
      </c>
      <c r="C17" s="14">
        <f>IF(A17&gt;$M$3,0,IF(DADOS!$C$11="PRICE",IF(A17&lt;=$M$4,0,MAX(0,E17-D17)),IF(DADOS!$C$11="SAC",IF(A17&lt;=$M$4,0,MIN($M$7,B17)),IF(DADOS!$C$11="AMERICANO",IF(A17=$M$3,MIN(DADOS!$C$7,B17),0),0))))</f>
        <v>0</v>
      </c>
      <c r="D17" s="14">
        <f t="shared" si="0"/>
        <v>0</v>
      </c>
      <c r="E17" s="14">
        <f>IF(A17&gt;$M$3,0,IF(DADOS!$C$11="PRICE",IF(A17&lt;=$M$4,D17,$M$6),IF(DADOS!$C$11="SAC",IF(A17&lt;=$M$4,D17,$M$7 + D17),IF(DADOS!$C$11="AMERICANO",IF(A17&lt;$M$3,D17,D17+C17),0))))</f>
        <v>0</v>
      </c>
      <c r="F17" s="14">
        <f>IF(A17&gt;$M$3,0,DADOS!$C$18)</f>
        <v>0</v>
      </c>
      <c r="G17" s="14">
        <f>IF(A17&gt;$M$3,0,B17*DADOS!$C$19)</f>
        <v>0</v>
      </c>
      <c r="H17" s="14">
        <f t="shared" si="1"/>
        <v>0</v>
      </c>
      <c r="I17" s="14">
        <f t="shared" si="2"/>
        <v>0</v>
      </c>
      <c r="J17" s="14">
        <f t="shared" si="3"/>
        <v>0</v>
      </c>
    </row>
    <row r="18" spans="1:10" x14ac:dyDescent="0.25">
      <c r="A18" s="15">
        <v>12</v>
      </c>
      <c r="B18" s="14">
        <f>IF(A18&gt;$M$3,0,IF(A18=1,DADOS!$C$7,I17))</f>
        <v>0</v>
      </c>
      <c r="C18" s="14">
        <f>IF(A18&gt;$M$3,0,IF(DADOS!$C$11="PRICE",IF(A18&lt;=$M$4,0,MAX(0,E18-D18)),IF(DADOS!$C$11="SAC",IF(A18&lt;=$M$4,0,MIN($M$7,B18)),IF(DADOS!$C$11="AMERICANO",IF(A18=$M$3,MIN(DADOS!$C$7,B18),0),0))))</f>
        <v>0</v>
      </c>
      <c r="D18" s="14">
        <f t="shared" si="0"/>
        <v>0</v>
      </c>
      <c r="E18" s="14">
        <f>IF(A18&gt;$M$3,0,IF(DADOS!$C$11="PRICE",IF(A18&lt;=$M$4,D18,$M$6),IF(DADOS!$C$11="SAC",IF(A18&lt;=$M$4,D18,$M$7 + D18),IF(DADOS!$C$11="AMERICANO",IF(A18&lt;$M$3,D18,D18+C18),0))))</f>
        <v>0</v>
      </c>
      <c r="F18" s="14">
        <f>IF(A18&gt;$M$3,0,DADOS!$C$18)</f>
        <v>0</v>
      </c>
      <c r="G18" s="14">
        <f>IF(A18&gt;$M$3,0,B18*DADOS!$C$19)</f>
        <v>0</v>
      </c>
      <c r="H18" s="14">
        <f t="shared" si="1"/>
        <v>0</v>
      </c>
      <c r="I18" s="14">
        <f t="shared" si="2"/>
        <v>0</v>
      </c>
      <c r="J18" s="14">
        <f t="shared" si="3"/>
        <v>0</v>
      </c>
    </row>
    <row r="19" spans="1:10" x14ac:dyDescent="0.25">
      <c r="A19" s="15">
        <v>13</v>
      </c>
      <c r="B19" s="14">
        <f>IF(A19&gt;$M$3,0,IF(A19=1,DADOS!$C$7,I18))</f>
        <v>0</v>
      </c>
      <c r="C19" s="14">
        <f>IF(A19&gt;$M$3,0,IF(DADOS!$C$11="PRICE",IF(A19&lt;=$M$4,0,MAX(0,E19-D19)),IF(DADOS!$C$11="SAC",IF(A19&lt;=$M$4,0,MIN($M$7,B19)),IF(DADOS!$C$11="AMERICANO",IF(A19=$M$3,MIN(DADOS!$C$7,B19),0),0))))</f>
        <v>0</v>
      </c>
      <c r="D19" s="14">
        <f t="shared" si="0"/>
        <v>0</v>
      </c>
      <c r="E19" s="14">
        <f>IF(A19&gt;$M$3,0,IF(DADOS!$C$11="PRICE",IF(A19&lt;=$M$4,D19,$M$6),IF(DADOS!$C$11="SAC",IF(A19&lt;=$M$4,D19,$M$7 + D19),IF(DADOS!$C$11="AMERICANO",IF(A19&lt;$M$3,D19,D19+C19),0))))</f>
        <v>0</v>
      </c>
      <c r="F19" s="14">
        <f>IF(A19&gt;$M$3,0,DADOS!$C$18)</f>
        <v>0</v>
      </c>
      <c r="G19" s="14">
        <f>IF(A19&gt;$M$3,0,B19*DADOS!$C$19)</f>
        <v>0</v>
      </c>
      <c r="H19" s="14">
        <f t="shared" si="1"/>
        <v>0</v>
      </c>
      <c r="I19" s="14">
        <f t="shared" si="2"/>
        <v>0</v>
      </c>
      <c r="J19" s="14">
        <f t="shared" si="3"/>
        <v>0</v>
      </c>
    </row>
    <row r="20" spans="1:10" x14ac:dyDescent="0.25">
      <c r="A20" s="15">
        <v>14</v>
      </c>
      <c r="B20" s="14">
        <f>IF(A20&gt;$M$3,0,IF(A20=1,DADOS!$C$7,I19))</f>
        <v>0</v>
      </c>
      <c r="C20" s="14">
        <f>IF(A20&gt;$M$3,0,IF(DADOS!$C$11="PRICE",IF(A20&lt;=$M$4,0,MAX(0,E20-D20)),IF(DADOS!$C$11="SAC",IF(A20&lt;=$M$4,0,MIN($M$7,B20)),IF(DADOS!$C$11="AMERICANO",IF(A20=$M$3,MIN(DADOS!$C$7,B20),0),0))))</f>
        <v>0</v>
      </c>
      <c r="D20" s="14">
        <f t="shared" si="0"/>
        <v>0</v>
      </c>
      <c r="E20" s="14">
        <f>IF(A20&gt;$M$3,0,IF(DADOS!$C$11="PRICE",IF(A20&lt;=$M$4,D20,$M$6),IF(DADOS!$C$11="SAC",IF(A20&lt;=$M$4,D20,$M$7 + D20),IF(DADOS!$C$11="AMERICANO",IF(A20&lt;$M$3,D20,D20+C20),0))))</f>
        <v>0</v>
      </c>
      <c r="F20" s="14">
        <f>IF(A20&gt;$M$3,0,DADOS!$C$18)</f>
        <v>0</v>
      </c>
      <c r="G20" s="14">
        <f>IF(A20&gt;$M$3,0,B20*DADOS!$C$19)</f>
        <v>0</v>
      </c>
      <c r="H20" s="14">
        <f t="shared" si="1"/>
        <v>0</v>
      </c>
      <c r="I20" s="14">
        <f t="shared" si="2"/>
        <v>0</v>
      </c>
      <c r="J20" s="14">
        <f t="shared" si="3"/>
        <v>0</v>
      </c>
    </row>
    <row r="21" spans="1:10" x14ac:dyDescent="0.25">
      <c r="A21" s="15">
        <v>15</v>
      </c>
      <c r="B21" s="14">
        <f>IF(A21&gt;$M$3,0,IF(A21=1,DADOS!$C$7,I20))</f>
        <v>0</v>
      </c>
      <c r="C21" s="14">
        <f>IF(A21&gt;$M$3,0,IF(DADOS!$C$11="PRICE",IF(A21&lt;=$M$4,0,MAX(0,E21-D21)),IF(DADOS!$C$11="SAC",IF(A21&lt;=$M$4,0,MIN($M$7,B21)),IF(DADOS!$C$11="AMERICANO",IF(A21=$M$3,MIN(DADOS!$C$7,B21),0),0))))</f>
        <v>0</v>
      </c>
      <c r="D21" s="14">
        <f t="shared" si="0"/>
        <v>0</v>
      </c>
      <c r="E21" s="14">
        <f>IF(A21&gt;$M$3,0,IF(DADOS!$C$11="PRICE",IF(A21&lt;=$M$4,D21,$M$6),IF(DADOS!$C$11="SAC",IF(A21&lt;=$M$4,D21,$M$7 + D21),IF(DADOS!$C$11="AMERICANO",IF(A21&lt;$M$3,D21,D21+C21),0))))</f>
        <v>0</v>
      </c>
      <c r="F21" s="14">
        <f>IF(A21&gt;$M$3,0,DADOS!$C$18)</f>
        <v>0</v>
      </c>
      <c r="G21" s="14">
        <f>IF(A21&gt;$M$3,0,B21*DADOS!$C$19)</f>
        <v>0</v>
      </c>
      <c r="H21" s="14">
        <f t="shared" si="1"/>
        <v>0</v>
      </c>
      <c r="I21" s="14">
        <f t="shared" si="2"/>
        <v>0</v>
      </c>
      <c r="J21" s="14">
        <f t="shared" si="3"/>
        <v>0</v>
      </c>
    </row>
    <row r="22" spans="1:10" x14ac:dyDescent="0.25">
      <c r="A22" s="15">
        <v>16</v>
      </c>
      <c r="B22" s="14">
        <f>IF(A22&gt;$M$3,0,IF(A22=1,DADOS!$C$7,I21))</f>
        <v>0</v>
      </c>
      <c r="C22" s="14">
        <f>IF(A22&gt;$M$3,0,IF(DADOS!$C$11="PRICE",IF(A22&lt;=$M$4,0,MAX(0,E22-D22)),IF(DADOS!$C$11="SAC",IF(A22&lt;=$M$4,0,MIN($M$7,B22)),IF(DADOS!$C$11="AMERICANO",IF(A22=$M$3,MIN(DADOS!$C$7,B22),0),0))))</f>
        <v>0</v>
      </c>
      <c r="D22" s="14">
        <f t="shared" si="0"/>
        <v>0</v>
      </c>
      <c r="E22" s="14">
        <f>IF(A22&gt;$M$3,0,IF(DADOS!$C$11="PRICE",IF(A22&lt;=$M$4,D22,$M$6),IF(DADOS!$C$11="SAC",IF(A22&lt;=$M$4,D22,$M$7 + D22),IF(DADOS!$C$11="AMERICANO",IF(A22&lt;$M$3,D22,D22+C22),0))))</f>
        <v>0</v>
      </c>
      <c r="F22" s="14">
        <f>IF(A22&gt;$M$3,0,DADOS!$C$18)</f>
        <v>0</v>
      </c>
      <c r="G22" s="14">
        <f>IF(A22&gt;$M$3,0,B22*DADOS!$C$19)</f>
        <v>0</v>
      </c>
      <c r="H22" s="14">
        <f t="shared" si="1"/>
        <v>0</v>
      </c>
      <c r="I22" s="14">
        <f t="shared" si="2"/>
        <v>0</v>
      </c>
      <c r="J22" s="14">
        <f t="shared" si="3"/>
        <v>0</v>
      </c>
    </row>
    <row r="23" spans="1:10" x14ac:dyDescent="0.25">
      <c r="A23" s="15">
        <v>17</v>
      </c>
      <c r="B23" s="14">
        <f>IF(A23&gt;$M$3,0,IF(A23=1,DADOS!$C$7,I22))</f>
        <v>0</v>
      </c>
      <c r="C23" s="14">
        <f>IF(A23&gt;$M$3,0,IF(DADOS!$C$11="PRICE",IF(A23&lt;=$M$4,0,MAX(0,E23-D23)),IF(DADOS!$C$11="SAC",IF(A23&lt;=$M$4,0,MIN($M$7,B23)),IF(DADOS!$C$11="AMERICANO",IF(A23=$M$3,MIN(DADOS!$C$7,B23),0),0))))</f>
        <v>0</v>
      </c>
      <c r="D23" s="14">
        <f t="shared" si="0"/>
        <v>0</v>
      </c>
      <c r="E23" s="14">
        <f>IF(A23&gt;$M$3,0,IF(DADOS!$C$11="PRICE",IF(A23&lt;=$M$4,D23,$M$6),IF(DADOS!$C$11="SAC",IF(A23&lt;=$M$4,D23,$M$7 + D23),IF(DADOS!$C$11="AMERICANO",IF(A23&lt;$M$3,D23,D23+C23),0))))</f>
        <v>0</v>
      </c>
      <c r="F23" s="14">
        <f>IF(A23&gt;$M$3,0,DADOS!$C$18)</f>
        <v>0</v>
      </c>
      <c r="G23" s="14">
        <f>IF(A23&gt;$M$3,0,B23*DADOS!$C$19)</f>
        <v>0</v>
      </c>
      <c r="H23" s="14">
        <f t="shared" si="1"/>
        <v>0</v>
      </c>
      <c r="I23" s="14">
        <f t="shared" si="2"/>
        <v>0</v>
      </c>
      <c r="J23" s="14">
        <f t="shared" si="3"/>
        <v>0</v>
      </c>
    </row>
    <row r="24" spans="1:10" x14ac:dyDescent="0.25">
      <c r="A24" s="15">
        <v>18</v>
      </c>
      <c r="B24" s="14">
        <f>IF(A24&gt;$M$3,0,IF(A24=1,DADOS!$C$7,I23))</f>
        <v>0</v>
      </c>
      <c r="C24" s="14">
        <f>IF(A24&gt;$M$3,0,IF(DADOS!$C$11="PRICE",IF(A24&lt;=$M$4,0,MAX(0,E24-D24)),IF(DADOS!$C$11="SAC",IF(A24&lt;=$M$4,0,MIN($M$7,B24)),IF(DADOS!$C$11="AMERICANO",IF(A24=$M$3,MIN(DADOS!$C$7,B24),0),0))))</f>
        <v>0</v>
      </c>
      <c r="D24" s="14">
        <f t="shared" si="0"/>
        <v>0</v>
      </c>
      <c r="E24" s="14">
        <f>IF(A24&gt;$M$3,0,IF(DADOS!$C$11="PRICE",IF(A24&lt;=$M$4,D24,$M$6),IF(DADOS!$C$11="SAC",IF(A24&lt;=$M$4,D24,$M$7 + D24),IF(DADOS!$C$11="AMERICANO",IF(A24&lt;$M$3,D24,D24+C24),0))))</f>
        <v>0</v>
      </c>
      <c r="F24" s="14">
        <f>IF(A24&gt;$M$3,0,DADOS!$C$18)</f>
        <v>0</v>
      </c>
      <c r="G24" s="14">
        <f>IF(A24&gt;$M$3,0,B24*DADOS!$C$19)</f>
        <v>0</v>
      </c>
      <c r="H24" s="14">
        <f t="shared" si="1"/>
        <v>0</v>
      </c>
      <c r="I24" s="14">
        <f t="shared" si="2"/>
        <v>0</v>
      </c>
      <c r="J24" s="14">
        <f t="shared" si="3"/>
        <v>0</v>
      </c>
    </row>
    <row r="25" spans="1:10" x14ac:dyDescent="0.25">
      <c r="A25" s="15">
        <v>19</v>
      </c>
      <c r="B25" s="14">
        <f>IF(A25&gt;$M$3,0,IF(A25=1,DADOS!$C$7,I24))</f>
        <v>0</v>
      </c>
      <c r="C25" s="14">
        <f>IF(A25&gt;$M$3,0,IF(DADOS!$C$11="PRICE",IF(A25&lt;=$M$4,0,MAX(0,E25-D25)),IF(DADOS!$C$11="SAC",IF(A25&lt;=$M$4,0,MIN($M$7,B25)),IF(DADOS!$C$11="AMERICANO",IF(A25=$M$3,MIN(DADOS!$C$7,B25),0),0))))</f>
        <v>0</v>
      </c>
      <c r="D25" s="14">
        <f t="shared" si="0"/>
        <v>0</v>
      </c>
      <c r="E25" s="14">
        <f>IF(A25&gt;$M$3,0,IF(DADOS!$C$11="PRICE",IF(A25&lt;=$M$4,D25,$M$6),IF(DADOS!$C$11="SAC",IF(A25&lt;=$M$4,D25,$M$7 + D25),IF(DADOS!$C$11="AMERICANO",IF(A25&lt;$M$3,D25,D25+C25),0))))</f>
        <v>0</v>
      </c>
      <c r="F25" s="14">
        <f>IF(A25&gt;$M$3,0,DADOS!$C$18)</f>
        <v>0</v>
      </c>
      <c r="G25" s="14">
        <f>IF(A25&gt;$M$3,0,B25*DADOS!$C$19)</f>
        <v>0</v>
      </c>
      <c r="H25" s="14">
        <f t="shared" si="1"/>
        <v>0</v>
      </c>
      <c r="I25" s="14">
        <f t="shared" si="2"/>
        <v>0</v>
      </c>
      <c r="J25" s="14">
        <f t="shared" si="3"/>
        <v>0</v>
      </c>
    </row>
    <row r="26" spans="1:10" x14ac:dyDescent="0.25">
      <c r="A26" s="15">
        <v>20</v>
      </c>
      <c r="B26" s="14">
        <f>IF(A26&gt;$M$3,0,IF(A26=1,DADOS!$C$7,I25))</f>
        <v>0</v>
      </c>
      <c r="C26" s="14">
        <f>IF(A26&gt;$M$3,0,IF(DADOS!$C$11="PRICE",IF(A26&lt;=$M$4,0,MAX(0,E26-D26)),IF(DADOS!$C$11="SAC",IF(A26&lt;=$M$4,0,MIN($M$7,B26)),IF(DADOS!$C$11="AMERICANO",IF(A26=$M$3,MIN(DADOS!$C$7,B26),0),0))))</f>
        <v>0</v>
      </c>
      <c r="D26" s="14">
        <f t="shared" si="0"/>
        <v>0</v>
      </c>
      <c r="E26" s="14">
        <f>IF(A26&gt;$M$3,0,IF(DADOS!$C$11="PRICE",IF(A26&lt;=$M$4,D26,$M$6),IF(DADOS!$C$11="SAC",IF(A26&lt;=$M$4,D26,$M$7 + D26),IF(DADOS!$C$11="AMERICANO",IF(A26&lt;$M$3,D26,D26+C26),0))))</f>
        <v>0</v>
      </c>
      <c r="F26" s="14">
        <f>IF(A26&gt;$M$3,0,DADOS!$C$18)</f>
        <v>0</v>
      </c>
      <c r="G26" s="14">
        <f>IF(A26&gt;$M$3,0,B26*DADOS!$C$19)</f>
        <v>0</v>
      </c>
      <c r="H26" s="14">
        <f t="shared" si="1"/>
        <v>0</v>
      </c>
      <c r="I26" s="14">
        <f t="shared" si="2"/>
        <v>0</v>
      </c>
      <c r="J26" s="14">
        <f t="shared" si="3"/>
        <v>0</v>
      </c>
    </row>
    <row r="27" spans="1:10" x14ac:dyDescent="0.25">
      <c r="A27" s="15">
        <v>21</v>
      </c>
      <c r="B27" s="14">
        <f>IF(A27&gt;$M$3,0,IF(A27=1,DADOS!$C$7,I26))</f>
        <v>0</v>
      </c>
      <c r="C27" s="14">
        <f>IF(A27&gt;$M$3,0,IF(DADOS!$C$11="PRICE",IF(A27&lt;=$M$4,0,MAX(0,E27-D27)),IF(DADOS!$C$11="SAC",IF(A27&lt;=$M$4,0,MIN($M$7,B27)),IF(DADOS!$C$11="AMERICANO",IF(A27=$M$3,MIN(DADOS!$C$7,B27),0),0))))</f>
        <v>0</v>
      </c>
      <c r="D27" s="14">
        <f t="shared" si="0"/>
        <v>0</v>
      </c>
      <c r="E27" s="14">
        <f>IF(A27&gt;$M$3,0,IF(DADOS!$C$11="PRICE",IF(A27&lt;=$M$4,D27,$M$6),IF(DADOS!$C$11="SAC",IF(A27&lt;=$M$4,D27,$M$7 + D27),IF(DADOS!$C$11="AMERICANO",IF(A27&lt;$M$3,D27,D27+C27),0))))</f>
        <v>0</v>
      </c>
      <c r="F27" s="14">
        <f>IF(A27&gt;$M$3,0,DADOS!$C$18)</f>
        <v>0</v>
      </c>
      <c r="G27" s="14">
        <f>IF(A27&gt;$M$3,0,B27*DADOS!$C$19)</f>
        <v>0</v>
      </c>
      <c r="H27" s="14">
        <f t="shared" si="1"/>
        <v>0</v>
      </c>
      <c r="I27" s="14">
        <f t="shared" si="2"/>
        <v>0</v>
      </c>
      <c r="J27" s="14">
        <f t="shared" si="3"/>
        <v>0</v>
      </c>
    </row>
    <row r="28" spans="1:10" x14ac:dyDescent="0.25">
      <c r="A28" s="15">
        <v>22</v>
      </c>
      <c r="B28" s="14">
        <f>IF(A28&gt;$M$3,0,IF(A28=1,DADOS!$C$7,I27))</f>
        <v>0</v>
      </c>
      <c r="C28" s="14">
        <f>IF(A28&gt;$M$3,0,IF(DADOS!$C$11="PRICE",IF(A28&lt;=$M$4,0,MAX(0,E28-D28)),IF(DADOS!$C$11="SAC",IF(A28&lt;=$M$4,0,MIN($M$7,B28)),IF(DADOS!$C$11="AMERICANO",IF(A28=$M$3,MIN(DADOS!$C$7,B28),0),0))))</f>
        <v>0</v>
      </c>
      <c r="D28" s="14">
        <f t="shared" si="0"/>
        <v>0</v>
      </c>
      <c r="E28" s="14">
        <f>IF(A28&gt;$M$3,0,IF(DADOS!$C$11="PRICE",IF(A28&lt;=$M$4,D28,$M$6),IF(DADOS!$C$11="SAC",IF(A28&lt;=$M$4,D28,$M$7 + D28),IF(DADOS!$C$11="AMERICANO",IF(A28&lt;$M$3,D28,D28+C28),0))))</f>
        <v>0</v>
      </c>
      <c r="F28" s="14">
        <f>IF(A28&gt;$M$3,0,DADOS!$C$18)</f>
        <v>0</v>
      </c>
      <c r="G28" s="14">
        <f>IF(A28&gt;$M$3,0,B28*DADOS!$C$19)</f>
        <v>0</v>
      </c>
      <c r="H28" s="14">
        <f t="shared" si="1"/>
        <v>0</v>
      </c>
      <c r="I28" s="14">
        <f t="shared" si="2"/>
        <v>0</v>
      </c>
      <c r="J28" s="14">
        <f t="shared" si="3"/>
        <v>0</v>
      </c>
    </row>
    <row r="29" spans="1:10" x14ac:dyDescent="0.25">
      <c r="A29" s="15">
        <v>23</v>
      </c>
      <c r="B29" s="14">
        <f>IF(A29&gt;$M$3,0,IF(A29=1,DADOS!$C$7,I28))</f>
        <v>0</v>
      </c>
      <c r="C29" s="14">
        <f>IF(A29&gt;$M$3,0,IF(DADOS!$C$11="PRICE",IF(A29&lt;=$M$4,0,MAX(0,E29-D29)),IF(DADOS!$C$11="SAC",IF(A29&lt;=$M$4,0,MIN($M$7,B29)),IF(DADOS!$C$11="AMERICANO",IF(A29=$M$3,MIN(DADOS!$C$7,B29),0),0))))</f>
        <v>0</v>
      </c>
      <c r="D29" s="14">
        <f t="shared" si="0"/>
        <v>0</v>
      </c>
      <c r="E29" s="14">
        <f>IF(A29&gt;$M$3,0,IF(DADOS!$C$11="PRICE",IF(A29&lt;=$M$4,D29,$M$6),IF(DADOS!$C$11="SAC",IF(A29&lt;=$M$4,D29,$M$7 + D29),IF(DADOS!$C$11="AMERICANO",IF(A29&lt;$M$3,D29,D29+C29),0))))</f>
        <v>0</v>
      </c>
      <c r="F29" s="14">
        <f>IF(A29&gt;$M$3,0,DADOS!$C$18)</f>
        <v>0</v>
      </c>
      <c r="G29" s="14">
        <f>IF(A29&gt;$M$3,0,B29*DADOS!$C$19)</f>
        <v>0</v>
      </c>
      <c r="H29" s="14">
        <f t="shared" si="1"/>
        <v>0</v>
      </c>
      <c r="I29" s="14">
        <f t="shared" si="2"/>
        <v>0</v>
      </c>
      <c r="J29" s="14">
        <f t="shared" si="3"/>
        <v>0</v>
      </c>
    </row>
    <row r="30" spans="1:10" x14ac:dyDescent="0.25">
      <c r="A30" s="15">
        <v>24</v>
      </c>
      <c r="B30" s="14">
        <f>IF(A30&gt;$M$3,0,IF(A30=1,DADOS!$C$7,I29))</f>
        <v>0</v>
      </c>
      <c r="C30" s="14">
        <f>IF(A30&gt;$M$3,0,IF(DADOS!$C$11="PRICE",IF(A30&lt;=$M$4,0,MAX(0,E30-D30)),IF(DADOS!$C$11="SAC",IF(A30&lt;=$M$4,0,MIN($M$7,B30)),IF(DADOS!$C$11="AMERICANO",IF(A30=$M$3,MIN(DADOS!$C$7,B30),0),0))))</f>
        <v>0</v>
      </c>
      <c r="D30" s="14">
        <f t="shared" si="0"/>
        <v>0</v>
      </c>
      <c r="E30" s="14">
        <f>IF(A30&gt;$M$3,0,IF(DADOS!$C$11="PRICE",IF(A30&lt;=$M$4,D30,$M$6),IF(DADOS!$C$11="SAC",IF(A30&lt;=$M$4,D30,$M$7 + D30),IF(DADOS!$C$11="AMERICANO",IF(A30&lt;$M$3,D30,D30+C30),0))))</f>
        <v>0</v>
      </c>
      <c r="F30" s="14">
        <f>IF(A30&gt;$M$3,0,DADOS!$C$18)</f>
        <v>0</v>
      </c>
      <c r="G30" s="14">
        <f>IF(A30&gt;$M$3,0,B30*DADOS!$C$19)</f>
        <v>0</v>
      </c>
      <c r="H30" s="14">
        <f t="shared" si="1"/>
        <v>0</v>
      </c>
      <c r="I30" s="14">
        <f t="shared" si="2"/>
        <v>0</v>
      </c>
      <c r="J30" s="14">
        <f t="shared" si="3"/>
        <v>0</v>
      </c>
    </row>
    <row r="31" spans="1:10" x14ac:dyDescent="0.25">
      <c r="A31" s="15">
        <v>25</v>
      </c>
      <c r="B31" s="14">
        <f>IF(A31&gt;$M$3,0,IF(A31=1,DADOS!$C$7,I30))</f>
        <v>0</v>
      </c>
      <c r="C31" s="14">
        <f>IF(A31&gt;$M$3,0,IF(DADOS!$C$11="PRICE",IF(A31&lt;=$M$4,0,MAX(0,E31-D31)),IF(DADOS!$C$11="SAC",IF(A31&lt;=$M$4,0,MIN($M$7,B31)),IF(DADOS!$C$11="AMERICANO",IF(A31=$M$3,MIN(DADOS!$C$7,B31),0),0))))</f>
        <v>0</v>
      </c>
      <c r="D31" s="14">
        <f t="shared" si="0"/>
        <v>0</v>
      </c>
      <c r="E31" s="14">
        <f>IF(A31&gt;$M$3,0,IF(DADOS!$C$11="PRICE",IF(A31&lt;=$M$4,D31,$M$6),IF(DADOS!$C$11="SAC",IF(A31&lt;=$M$4,D31,$M$7 + D31),IF(DADOS!$C$11="AMERICANO",IF(A31&lt;$M$3,D31,D31+C31),0))))</f>
        <v>0</v>
      </c>
      <c r="F31" s="14">
        <f>IF(A31&gt;$M$3,0,DADOS!$C$18)</f>
        <v>0</v>
      </c>
      <c r="G31" s="14">
        <f>IF(A31&gt;$M$3,0,B31*DADOS!$C$19)</f>
        <v>0</v>
      </c>
      <c r="H31" s="14">
        <f t="shared" si="1"/>
        <v>0</v>
      </c>
      <c r="I31" s="14">
        <f t="shared" si="2"/>
        <v>0</v>
      </c>
      <c r="J31" s="14">
        <f t="shared" si="3"/>
        <v>0</v>
      </c>
    </row>
    <row r="32" spans="1:10" x14ac:dyDescent="0.25">
      <c r="A32" s="15">
        <v>26</v>
      </c>
      <c r="B32" s="14">
        <f>IF(A32&gt;$M$3,0,IF(A32=1,DADOS!$C$7,I31))</f>
        <v>0</v>
      </c>
      <c r="C32" s="14">
        <f>IF(A32&gt;$M$3,0,IF(DADOS!$C$11="PRICE",IF(A32&lt;=$M$4,0,MAX(0,E32-D32)),IF(DADOS!$C$11="SAC",IF(A32&lt;=$M$4,0,MIN($M$7,B32)),IF(DADOS!$C$11="AMERICANO",IF(A32=$M$3,MIN(DADOS!$C$7,B32),0),0))))</f>
        <v>0</v>
      </c>
      <c r="D32" s="14">
        <f t="shared" si="0"/>
        <v>0</v>
      </c>
      <c r="E32" s="14">
        <f>IF(A32&gt;$M$3,0,IF(DADOS!$C$11="PRICE",IF(A32&lt;=$M$4,D32,$M$6),IF(DADOS!$C$11="SAC",IF(A32&lt;=$M$4,D32,$M$7 + D32),IF(DADOS!$C$11="AMERICANO",IF(A32&lt;$M$3,D32,D32+C32),0))))</f>
        <v>0</v>
      </c>
      <c r="F32" s="14">
        <f>IF(A32&gt;$M$3,0,DADOS!$C$18)</f>
        <v>0</v>
      </c>
      <c r="G32" s="14">
        <f>IF(A32&gt;$M$3,0,B32*DADOS!$C$19)</f>
        <v>0</v>
      </c>
      <c r="H32" s="14">
        <f t="shared" si="1"/>
        <v>0</v>
      </c>
      <c r="I32" s="14">
        <f t="shared" si="2"/>
        <v>0</v>
      </c>
      <c r="J32" s="14">
        <f t="shared" si="3"/>
        <v>0</v>
      </c>
    </row>
    <row r="33" spans="1:10" x14ac:dyDescent="0.25">
      <c r="A33" s="15">
        <v>27</v>
      </c>
      <c r="B33" s="14">
        <f>IF(A33&gt;$M$3,0,IF(A33=1,DADOS!$C$7,I32))</f>
        <v>0</v>
      </c>
      <c r="C33" s="14">
        <f>IF(A33&gt;$M$3,0,IF(DADOS!$C$11="PRICE",IF(A33&lt;=$M$4,0,MAX(0,E33-D33)),IF(DADOS!$C$11="SAC",IF(A33&lt;=$M$4,0,MIN($M$7,B33)),IF(DADOS!$C$11="AMERICANO",IF(A33=$M$3,MIN(DADOS!$C$7,B33),0),0))))</f>
        <v>0</v>
      </c>
      <c r="D33" s="14">
        <f t="shared" si="0"/>
        <v>0</v>
      </c>
      <c r="E33" s="14">
        <f>IF(A33&gt;$M$3,0,IF(DADOS!$C$11="PRICE",IF(A33&lt;=$M$4,D33,$M$6),IF(DADOS!$C$11="SAC",IF(A33&lt;=$M$4,D33,$M$7 + D33),IF(DADOS!$C$11="AMERICANO",IF(A33&lt;$M$3,D33,D33+C33),0))))</f>
        <v>0</v>
      </c>
      <c r="F33" s="14">
        <f>IF(A33&gt;$M$3,0,DADOS!$C$18)</f>
        <v>0</v>
      </c>
      <c r="G33" s="14">
        <f>IF(A33&gt;$M$3,0,B33*DADOS!$C$19)</f>
        <v>0</v>
      </c>
      <c r="H33" s="14">
        <f t="shared" si="1"/>
        <v>0</v>
      </c>
      <c r="I33" s="14">
        <f t="shared" si="2"/>
        <v>0</v>
      </c>
      <c r="J33" s="14">
        <f t="shared" si="3"/>
        <v>0</v>
      </c>
    </row>
    <row r="34" spans="1:10" x14ac:dyDescent="0.25">
      <c r="A34" s="15">
        <v>28</v>
      </c>
      <c r="B34" s="14">
        <f>IF(A34&gt;$M$3,0,IF(A34=1,DADOS!$C$7,I33))</f>
        <v>0</v>
      </c>
      <c r="C34" s="14">
        <f>IF(A34&gt;$M$3,0,IF(DADOS!$C$11="PRICE",IF(A34&lt;=$M$4,0,MAX(0,E34-D34)),IF(DADOS!$C$11="SAC",IF(A34&lt;=$M$4,0,MIN($M$7,B34)),IF(DADOS!$C$11="AMERICANO",IF(A34=$M$3,MIN(DADOS!$C$7,B34),0),0))))</f>
        <v>0</v>
      </c>
      <c r="D34" s="14">
        <f t="shared" si="0"/>
        <v>0</v>
      </c>
      <c r="E34" s="14">
        <f>IF(A34&gt;$M$3,0,IF(DADOS!$C$11="PRICE",IF(A34&lt;=$M$4,D34,$M$6),IF(DADOS!$C$11="SAC",IF(A34&lt;=$M$4,D34,$M$7 + D34),IF(DADOS!$C$11="AMERICANO",IF(A34&lt;$M$3,D34,D34+C34),0))))</f>
        <v>0</v>
      </c>
      <c r="F34" s="14">
        <f>IF(A34&gt;$M$3,0,DADOS!$C$18)</f>
        <v>0</v>
      </c>
      <c r="G34" s="14">
        <f>IF(A34&gt;$M$3,0,B34*DADOS!$C$19)</f>
        <v>0</v>
      </c>
      <c r="H34" s="14">
        <f t="shared" si="1"/>
        <v>0</v>
      </c>
      <c r="I34" s="14">
        <f t="shared" si="2"/>
        <v>0</v>
      </c>
      <c r="J34" s="14">
        <f t="shared" si="3"/>
        <v>0</v>
      </c>
    </row>
    <row r="35" spans="1:10" x14ac:dyDescent="0.25">
      <c r="A35" s="15">
        <v>29</v>
      </c>
      <c r="B35" s="14">
        <f>IF(A35&gt;$M$3,0,IF(A35=1,DADOS!$C$7,I34))</f>
        <v>0</v>
      </c>
      <c r="C35" s="14">
        <f>IF(A35&gt;$M$3,0,IF(DADOS!$C$11="PRICE",IF(A35&lt;=$M$4,0,MAX(0,E35-D35)),IF(DADOS!$C$11="SAC",IF(A35&lt;=$M$4,0,MIN($M$7,B35)),IF(DADOS!$C$11="AMERICANO",IF(A35=$M$3,MIN(DADOS!$C$7,B35),0),0))))</f>
        <v>0</v>
      </c>
      <c r="D35" s="14">
        <f t="shared" si="0"/>
        <v>0</v>
      </c>
      <c r="E35" s="14">
        <f>IF(A35&gt;$M$3,0,IF(DADOS!$C$11="PRICE",IF(A35&lt;=$M$4,D35,$M$6),IF(DADOS!$C$11="SAC",IF(A35&lt;=$M$4,D35,$M$7 + D35),IF(DADOS!$C$11="AMERICANO",IF(A35&lt;$M$3,D35,D35+C35),0))))</f>
        <v>0</v>
      </c>
      <c r="F35" s="14">
        <f>IF(A35&gt;$M$3,0,DADOS!$C$18)</f>
        <v>0</v>
      </c>
      <c r="G35" s="14">
        <f>IF(A35&gt;$M$3,0,B35*DADOS!$C$19)</f>
        <v>0</v>
      </c>
      <c r="H35" s="14">
        <f t="shared" si="1"/>
        <v>0</v>
      </c>
      <c r="I35" s="14">
        <f t="shared" si="2"/>
        <v>0</v>
      </c>
      <c r="J35" s="14">
        <f t="shared" si="3"/>
        <v>0</v>
      </c>
    </row>
    <row r="36" spans="1:10" x14ac:dyDescent="0.25">
      <c r="A36" s="15">
        <v>30</v>
      </c>
      <c r="B36" s="14">
        <f>IF(A36&gt;$M$3,0,IF(A36=1,DADOS!$C$7,I35))</f>
        <v>0</v>
      </c>
      <c r="C36" s="14">
        <f>IF(A36&gt;$M$3,0,IF(DADOS!$C$11="PRICE",IF(A36&lt;=$M$4,0,MAX(0,E36-D36)),IF(DADOS!$C$11="SAC",IF(A36&lt;=$M$4,0,MIN($M$7,B36)),IF(DADOS!$C$11="AMERICANO",IF(A36=$M$3,MIN(DADOS!$C$7,B36),0),0))))</f>
        <v>0</v>
      </c>
      <c r="D36" s="14">
        <f t="shared" si="0"/>
        <v>0</v>
      </c>
      <c r="E36" s="14">
        <f>IF(A36&gt;$M$3,0,IF(DADOS!$C$11="PRICE",IF(A36&lt;=$M$4,D36,$M$6),IF(DADOS!$C$11="SAC",IF(A36&lt;=$M$4,D36,$M$7 + D36),IF(DADOS!$C$11="AMERICANO",IF(A36&lt;$M$3,D36,D36+C36),0))))</f>
        <v>0</v>
      </c>
      <c r="F36" s="14">
        <f>IF(A36&gt;$M$3,0,DADOS!$C$18)</f>
        <v>0</v>
      </c>
      <c r="G36" s="14">
        <f>IF(A36&gt;$M$3,0,B36*DADOS!$C$19)</f>
        <v>0</v>
      </c>
      <c r="H36" s="14">
        <f t="shared" si="1"/>
        <v>0</v>
      </c>
      <c r="I36" s="14">
        <f t="shared" si="2"/>
        <v>0</v>
      </c>
      <c r="J36" s="14">
        <f t="shared" si="3"/>
        <v>0</v>
      </c>
    </row>
    <row r="37" spans="1:10" x14ac:dyDescent="0.25">
      <c r="A37" s="15">
        <v>31</v>
      </c>
      <c r="B37" s="14">
        <f>IF(A37&gt;$M$3,0,IF(A37=1,DADOS!$C$7,I36))</f>
        <v>0</v>
      </c>
      <c r="C37" s="14">
        <f>IF(A37&gt;$M$3,0,IF(DADOS!$C$11="PRICE",IF(A37&lt;=$M$4,0,MAX(0,E37-D37)),IF(DADOS!$C$11="SAC",IF(A37&lt;=$M$4,0,MIN($M$7,B37)),IF(DADOS!$C$11="AMERICANO",IF(A37=$M$3,MIN(DADOS!$C$7,B37),0),0))))</f>
        <v>0</v>
      </c>
      <c r="D37" s="14">
        <f t="shared" si="0"/>
        <v>0</v>
      </c>
      <c r="E37" s="14">
        <f>IF(A37&gt;$M$3,0,IF(DADOS!$C$11="PRICE",IF(A37&lt;=$M$4,D37,$M$6),IF(DADOS!$C$11="SAC",IF(A37&lt;=$M$4,D37,$M$7 + D37),IF(DADOS!$C$11="AMERICANO",IF(A37&lt;$M$3,D37,D37+C37),0))))</f>
        <v>0</v>
      </c>
      <c r="F37" s="14">
        <f>IF(A37&gt;$M$3,0,DADOS!$C$18)</f>
        <v>0</v>
      </c>
      <c r="G37" s="14">
        <f>IF(A37&gt;$M$3,0,B37*DADOS!$C$19)</f>
        <v>0</v>
      </c>
      <c r="H37" s="14">
        <f t="shared" si="1"/>
        <v>0</v>
      </c>
      <c r="I37" s="14">
        <f t="shared" si="2"/>
        <v>0</v>
      </c>
      <c r="J37" s="14">
        <f t="shared" si="3"/>
        <v>0</v>
      </c>
    </row>
    <row r="38" spans="1:10" x14ac:dyDescent="0.25">
      <c r="A38" s="15">
        <v>32</v>
      </c>
      <c r="B38" s="14">
        <f>IF(A38&gt;$M$3,0,IF(A38=1,DADOS!$C$7,I37))</f>
        <v>0</v>
      </c>
      <c r="C38" s="14">
        <f>IF(A38&gt;$M$3,0,IF(DADOS!$C$11="PRICE",IF(A38&lt;=$M$4,0,MAX(0,E38-D38)),IF(DADOS!$C$11="SAC",IF(A38&lt;=$M$4,0,MIN($M$7,B38)),IF(DADOS!$C$11="AMERICANO",IF(A38=$M$3,MIN(DADOS!$C$7,B38),0),0))))</f>
        <v>0</v>
      </c>
      <c r="D38" s="14">
        <f t="shared" si="0"/>
        <v>0</v>
      </c>
      <c r="E38" s="14">
        <f>IF(A38&gt;$M$3,0,IF(DADOS!$C$11="PRICE",IF(A38&lt;=$M$4,D38,$M$6),IF(DADOS!$C$11="SAC",IF(A38&lt;=$M$4,D38,$M$7 + D38),IF(DADOS!$C$11="AMERICANO",IF(A38&lt;$M$3,D38,D38+C38),0))))</f>
        <v>0</v>
      </c>
      <c r="F38" s="14">
        <f>IF(A38&gt;$M$3,0,DADOS!$C$18)</f>
        <v>0</v>
      </c>
      <c r="G38" s="14">
        <f>IF(A38&gt;$M$3,0,B38*DADOS!$C$19)</f>
        <v>0</v>
      </c>
      <c r="H38" s="14">
        <f t="shared" si="1"/>
        <v>0</v>
      </c>
      <c r="I38" s="14">
        <f t="shared" si="2"/>
        <v>0</v>
      </c>
      <c r="J38" s="14">
        <f t="shared" si="3"/>
        <v>0</v>
      </c>
    </row>
    <row r="39" spans="1:10" x14ac:dyDescent="0.25">
      <c r="A39" s="15">
        <v>33</v>
      </c>
      <c r="B39" s="14">
        <f>IF(A39&gt;$M$3,0,IF(A39=1,DADOS!$C$7,I38))</f>
        <v>0</v>
      </c>
      <c r="C39" s="14">
        <f>IF(A39&gt;$M$3,0,IF(DADOS!$C$11="PRICE",IF(A39&lt;=$M$4,0,MAX(0,E39-D39)),IF(DADOS!$C$11="SAC",IF(A39&lt;=$M$4,0,MIN($M$7,B39)),IF(DADOS!$C$11="AMERICANO",IF(A39=$M$3,MIN(DADOS!$C$7,B39),0),0))))</f>
        <v>0</v>
      </c>
      <c r="D39" s="14">
        <f t="shared" si="0"/>
        <v>0</v>
      </c>
      <c r="E39" s="14">
        <f>IF(A39&gt;$M$3,0,IF(DADOS!$C$11="PRICE",IF(A39&lt;=$M$4,D39,$M$6),IF(DADOS!$C$11="SAC",IF(A39&lt;=$M$4,D39,$M$7 + D39),IF(DADOS!$C$11="AMERICANO",IF(A39&lt;$M$3,D39,D39+C39),0))))</f>
        <v>0</v>
      </c>
      <c r="F39" s="14">
        <f>IF(A39&gt;$M$3,0,DADOS!$C$18)</f>
        <v>0</v>
      </c>
      <c r="G39" s="14">
        <f>IF(A39&gt;$M$3,0,B39*DADOS!$C$19)</f>
        <v>0</v>
      </c>
      <c r="H39" s="14">
        <f t="shared" si="1"/>
        <v>0</v>
      </c>
      <c r="I39" s="14">
        <f t="shared" si="2"/>
        <v>0</v>
      </c>
      <c r="J39" s="14">
        <f t="shared" si="3"/>
        <v>0</v>
      </c>
    </row>
    <row r="40" spans="1:10" x14ac:dyDescent="0.25">
      <c r="A40" s="15">
        <v>34</v>
      </c>
      <c r="B40" s="14">
        <f>IF(A40&gt;$M$3,0,IF(A40=1,DADOS!$C$7,I39))</f>
        <v>0</v>
      </c>
      <c r="C40" s="14">
        <f>IF(A40&gt;$M$3,0,IF(DADOS!$C$11="PRICE",IF(A40&lt;=$M$4,0,MAX(0,E40-D40)),IF(DADOS!$C$11="SAC",IF(A40&lt;=$M$4,0,MIN($M$7,B40)),IF(DADOS!$C$11="AMERICANO",IF(A40=$M$3,MIN(DADOS!$C$7,B40),0),0))))</f>
        <v>0</v>
      </c>
      <c r="D40" s="14">
        <f t="shared" si="0"/>
        <v>0</v>
      </c>
      <c r="E40" s="14">
        <f>IF(A40&gt;$M$3,0,IF(DADOS!$C$11="PRICE",IF(A40&lt;=$M$4,D40,$M$6),IF(DADOS!$C$11="SAC",IF(A40&lt;=$M$4,D40,$M$7 + D40),IF(DADOS!$C$11="AMERICANO",IF(A40&lt;$M$3,D40,D40+C40),0))))</f>
        <v>0</v>
      </c>
      <c r="F40" s="14">
        <f>IF(A40&gt;$M$3,0,DADOS!$C$18)</f>
        <v>0</v>
      </c>
      <c r="G40" s="14">
        <f>IF(A40&gt;$M$3,0,B40*DADOS!$C$19)</f>
        <v>0</v>
      </c>
      <c r="H40" s="14">
        <f t="shared" si="1"/>
        <v>0</v>
      </c>
      <c r="I40" s="14">
        <f t="shared" si="2"/>
        <v>0</v>
      </c>
      <c r="J40" s="14">
        <f t="shared" si="3"/>
        <v>0</v>
      </c>
    </row>
    <row r="41" spans="1:10" x14ac:dyDescent="0.25">
      <c r="A41" s="15">
        <v>35</v>
      </c>
      <c r="B41" s="14">
        <f>IF(A41&gt;$M$3,0,IF(A41=1,DADOS!$C$7,I40))</f>
        <v>0</v>
      </c>
      <c r="C41" s="14">
        <f>IF(A41&gt;$M$3,0,IF(DADOS!$C$11="PRICE",IF(A41&lt;=$M$4,0,MAX(0,E41-D41)),IF(DADOS!$C$11="SAC",IF(A41&lt;=$M$4,0,MIN($M$7,B41)),IF(DADOS!$C$11="AMERICANO",IF(A41=$M$3,MIN(DADOS!$C$7,B41),0),0))))</f>
        <v>0</v>
      </c>
      <c r="D41" s="14">
        <f t="shared" si="0"/>
        <v>0</v>
      </c>
      <c r="E41" s="14">
        <f>IF(A41&gt;$M$3,0,IF(DADOS!$C$11="PRICE",IF(A41&lt;=$M$4,D41,$M$6),IF(DADOS!$C$11="SAC",IF(A41&lt;=$M$4,D41,$M$7 + D41),IF(DADOS!$C$11="AMERICANO",IF(A41&lt;$M$3,D41,D41+C41),0))))</f>
        <v>0</v>
      </c>
      <c r="F41" s="14">
        <f>IF(A41&gt;$M$3,0,DADOS!$C$18)</f>
        <v>0</v>
      </c>
      <c r="G41" s="14">
        <f>IF(A41&gt;$M$3,0,B41*DADOS!$C$19)</f>
        <v>0</v>
      </c>
      <c r="H41" s="14">
        <f t="shared" si="1"/>
        <v>0</v>
      </c>
      <c r="I41" s="14">
        <f t="shared" si="2"/>
        <v>0</v>
      </c>
      <c r="J41" s="14">
        <f t="shared" si="3"/>
        <v>0</v>
      </c>
    </row>
    <row r="42" spans="1:10" x14ac:dyDescent="0.25">
      <c r="A42" s="15">
        <v>36</v>
      </c>
      <c r="B42" s="14">
        <f>IF(A42&gt;$M$3,0,IF(A42=1,DADOS!$C$7,I41))</f>
        <v>0</v>
      </c>
      <c r="C42" s="14">
        <f>IF(A42&gt;$M$3,0,IF(DADOS!$C$11="PRICE",IF(A42&lt;=$M$4,0,MAX(0,E42-D42)),IF(DADOS!$C$11="SAC",IF(A42&lt;=$M$4,0,MIN($M$7,B42)),IF(DADOS!$C$11="AMERICANO",IF(A42=$M$3,MIN(DADOS!$C$7,B42),0),0))))</f>
        <v>0</v>
      </c>
      <c r="D42" s="14">
        <f t="shared" si="0"/>
        <v>0</v>
      </c>
      <c r="E42" s="14">
        <f>IF(A42&gt;$M$3,0,IF(DADOS!$C$11="PRICE",IF(A42&lt;=$M$4,D42,$M$6),IF(DADOS!$C$11="SAC",IF(A42&lt;=$M$4,D42,$M$7 + D42),IF(DADOS!$C$11="AMERICANO",IF(A42&lt;$M$3,D42,D42+C42),0))))</f>
        <v>0</v>
      </c>
      <c r="F42" s="14">
        <f>IF(A42&gt;$M$3,0,DADOS!$C$18)</f>
        <v>0</v>
      </c>
      <c r="G42" s="14">
        <f>IF(A42&gt;$M$3,0,B42*DADOS!$C$19)</f>
        <v>0</v>
      </c>
      <c r="H42" s="14">
        <f t="shared" si="1"/>
        <v>0</v>
      </c>
      <c r="I42" s="14">
        <f t="shared" si="2"/>
        <v>0</v>
      </c>
      <c r="J42" s="14">
        <f t="shared" si="3"/>
        <v>0</v>
      </c>
    </row>
    <row r="43" spans="1:10" x14ac:dyDescent="0.25">
      <c r="A43" s="15">
        <v>37</v>
      </c>
      <c r="B43" s="14">
        <f>IF(A43&gt;$M$3,0,IF(A43=1,DADOS!$C$7,I42))</f>
        <v>0</v>
      </c>
      <c r="C43" s="14">
        <f>IF(A43&gt;$M$3,0,IF(DADOS!$C$11="PRICE",IF(A43&lt;=$M$4,0,MAX(0,E43-D43)),IF(DADOS!$C$11="SAC",IF(A43&lt;=$M$4,0,MIN($M$7,B43)),IF(DADOS!$C$11="AMERICANO",IF(A43=$M$3,MIN(DADOS!$C$7,B43),0),0))))</f>
        <v>0</v>
      </c>
      <c r="D43" s="14">
        <f t="shared" si="0"/>
        <v>0</v>
      </c>
      <c r="E43" s="14">
        <f>IF(A43&gt;$M$3,0,IF(DADOS!$C$11="PRICE",IF(A43&lt;=$M$4,D43,$M$6),IF(DADOS!$C$11="SAC",IF(A43&lt;=$M$4,D43,$M$7 + D43),IF(DADOS!$C$11="AMERICANO",IF(A43&lt;$M$3,D43,D43+C43),0))))</f>
        <v>0</v>
      </c>
      <c r="F43" s="14">
        <f>IF(A43&gt;$M$3,0,DADOS!$C$18)</f>
        <v>0</v>
      </c>
      <c r="G43" s="14">
        <f>IF(A43&gt;$M$3,0,B43*DADOS!$C$19)</f>
        <v>0</v>
      </c>
      <c r="H43" s="14">
        <f t="shared" si="1"/>
        <v>0</v>
      </c>
      <c r="I43" s="14">
        <f t="shared" si="2"/>
        <v>0</v>
      </c>
      <c r="J43" s="14">
        <f t="shared" si="3"/>
        <v>0</v>
      </c>
    </row>
    <row r="44" spans="1:10" x14ac:dyDescent="0.25">
      <c r="A44" s="15">
        <v>38</v>
      </c>
      <c r="B44" s="14">
        <f>IF(A44&gt;$M$3,0,IF(A44=1,DADOS!$C$7,I43))</f>
        <v>0</v>
      </c>
      <c r="C44" s="14">
        <f>IF(A44&gt;$M$3,0,IF(DADOS!$C$11="PRICE",IF(A44&lt;=$M$4,0,MAX(0,E44-D44)),IF(DADOS!$C$11="SAC",IF(A44&lt;=$M$4,0,MIN($M$7,B44)),IF(DADOS!$C$11="AMERICANO",IF(A44=$M$3,MIN(DADOS!$C$7,B44),0),0))))</f>
        <v>0</v>
      </c>
      <c r="D44" s="14">
        <f t="shared" si="0"/>
        <v>0</v>
      </c>
      <c r="E44" s="14">
        <f>IF(A44&gt;$M$3,0,IF(DADOS!$C$11="PRICE",IF(A44&lt;=$M$4,D44,$M$6),IF(DADOS!$C$11="SAC",IF(A44&lt;=$M$4,D44,$M$7 + D44),IF(DADOS!$C$11="AMERICANO",IF(A44&lt;$M$3,D44,D44+C44),0))))</f>
        <v>0</v>
      </c>
      <c r="F44" s="14">
        <f>IF(A44&gt;$M$3,0,DADOS!$C$18)</f>
        <v>0</v>
      </c>
      <c r="G44" s="14">
        <f>IF(A44&gt;$M$3,0,B44*DADOS!$C$19)</f>
        <v>0</v>
      </c>
      <c r="H44" s="14">
        <f t="shared" si="1"/>
        <v>0</v>
      </c>
      <c r="I44" s="14">
        <f t="shared" si="2"/>
        <v>0</v>
      </c>
      <c r="J44" s="14">
        <f t="shared" si="3"/>
        <v>0</v>
      </c>
    </row>
    <row r="45" spans="1:10" x14ac:dyDescent="0.25">
      <c r="A45" s="15">
        <v>39</v>
      </c>
      <c r="B45" s="14">
        <f>IF(A45&gt;$M$3,0,IF(A45=1,DADOS!$C$7,I44))</f>
        <v>0</v>
      </c>
      <c r="C45" s="14">
        <f>IF(A45&gt;$M$3,0,IF(DADOS!$C$11="PRICE",IF(A45&lt;=$M$4,0,MAX(0,E45-D45)),IF(DADOS!$C$11="SAC",IF(A45&lt;=$M$4,0,MIN($M$7,B45)),IF(DADOS!$C$11="AMERICANO",IF(A45=$M$3,MIN(DADOS!$C$7,B45),0),0))))</f>
        <v>0</v>
      </c>
      <c r="D45" s="14">
        <f t="shared" si="0"/>
        <v>0</v>
      </c>
      <c r="E45" s="14">
        <f>IF(A45&gt;$M$3,0,IF(DADOS!$C$11="PRICE",IF(A45&lt;=$M$4,D45,$M$6),IF(DADOS!$C$11="SAC",IF(A45&lt;=$M$4,D45,$M$7 + D45),IF(DADOS!$C$11="AMERICANO",IF(A45&lt;$M$3,D45,D45+C45),0))))</f>
        <v>0</v>
      </c>
      <c r="F45" s="14">
        <f>IF(A45&gt;$M$3,0,DADOS!$C$18)</f>
        <v>0</v>
      </c>
      <c r="G45" s="14">
        <f>IF(A45&gt;$M$3,0,B45*DADOS!$C$19)</f>
        <v>0</v>
      </c>
      <c r="H45" s="14">
        <f t="shared" si="1"/>
        <v>0</v>
      </c>
      <c r="I45" s="14">
        <f t="shared" si="2"/>
        <v>0</v>
      </c>
      <c r="J45" s="14">
        <f t="shared" si="3"/>
        <v>0</v>
      </c>
    </row>
    <row r="46" spans="1:10" x14ac:dyDescent="0.25">
      <c r="A46" s="15">
        <v>40</v>
      </c>
      <c r="B46" s="14">
        <f>IF(A46&gt;$M$3,0,IF(A46=1,DADOS!$C$7,I45))</f>
        <v>0</v>
      </c>
      <c r="C46" s="14">
        <f>IF(A46&gt;$M$3,0,IF(DADOS!$C$11="PRICE",IF(A46&lt;=$M$4,0,MAX(0,E46-D46)),IF(DADOS!$C$11="SAC",IF(A46&lt;=$M$4,0,MIN($M$7,B46)),IF(DADOS!$C$11="AMERICANO",IF(A46=$M$3,MIN(DADOS!$C$7,B46),0),0))))</f>
        <v>0</v>
      </c>
      <c r="D46" s="14">
        <f t="shared" si="0"/>
        <v>0</v>
      </c>
      <c r="E46" s="14">
        <f>IF(A46&gt;$M$3,0,IF(DADOS!$C$11="PRICE",IF(A46&lt;=$M$4,D46,$M$6),IF(DADOS!$C$11="SAC",IF(A46&lt;=$M$4,D46,$M$7 + D46),IF(DADOS!$C$11="AMERICANO",IF(A46&lt;$M$3,D46,D46+C46),0))))</f>
        <v>0</v>
      </c>
      <c r="F46" s="14">
        <f>IF(A46&gt;$M$3,0,DADOS!$C$18)</f>
        <v>0</v>
      </c>
      <c r="G46" s="14">
        <f>IF(A46&gt;$M$3,0,B46*DADOS!$C$19)</f>
        <v>0</v>
      </c>
      <c r="H46" s="14">
        <f t="shared" si="1"/>
        <v>0</v>
      </c>
      <c r="I46" s="14">
        <f t="shared" si="2"/>
        <v>0</v>
      </c>
      <c r="J46" s="14">
        <f t="shared" si="3"/>
        <v>0</v>
      </c>
    </row>
    <row r="47" spans="1:10" x14ac:dyDescent="0.25">
      <c r="A47" s="15">
        <v>41</v>
      </c>
      <c r="B47" s="14">
        <f>IF(A47&gt;$M$3,0,IF(A47=1,DADOS!$C$7,I46))</f>
        <v>0</v>
      </c>
      <c r="C47" s="14">
        <f>IF(A47&gt;$M$3,0,IF(DADOS!$C$11="PRICE",IF(A47&lt;=$M$4,0,MAX(0,E47-D47)),IF(DADOS!$C$11="SAC",IF(A47&lt;=$M$4,0,MIN($M$7,B47)),IF(DADOS!$C$11="AMERICANO",IF(A47=$M$3,MIN(DADOS!$C$7,B47),0),0))))</f>
        <v>0</v>
      </c>
      <c r="D47" s="14">
        <f t="shared" si="0"/>
        <v>0</v>
      </c>
      <c r="E47" s="14">
        <f>IF(A47&gt;$M$3,0,IF(DADOS!$C$11="PRICE",IF(A47&lt;=$M$4,D47,$M$6),IF(DADOS!$C$11="SAC",IF(A47&lt;=$M$4,D47,$M$7 + D47),IF(DADOS!$C$11="AMERICANO",IF(A47&lt;$M$3,D47,D47+C47),0))))</f>
        <v>0</v>
      </c>
      <c r="F47" s="14">
        <f>IF(A47&gt;$M$3,0,DADOS!$C$18)</f>
        <v>0</v>
      </c>
      <c r="G47" s="14">
        <f>IF(A47&gt;$M$3,0,B47*DADOS!$C$19)</f>
        <v>0</v>
      </c>
      <c r="H47" s="14">
        <f t="shared" si="1"/>
        <v>0</v>
      </c>
      <c r="I47" s="14">
        <f t="shared" si="2"/>
        <v>0</v>
      </c>
      <c r="J47" s="14">
        <f t="shared" si="3"/>
        <v>0</v>
      </c>
    </row>
    <row r="48" spans="1:10" x14ac:dyDescent="0.25">
      <c r="A48" s="15">
        <v>42</v>
      </c>
      <c r="B48" s="14">
        <f>IF(A48&gt;$M$3,0,IF(A48=1,DADOS!$C$7,I47))</f>
        <v>0</v>
      </c>
      <c r="C48" s="14">
        <f>IF(A48&gt;$M$3,0,IF(DADOS!$C$11="PRICE",IF(A48&lt;=$M$4,0,MAX(0,E48-D48)),IF(DADOS!$C$11="SAC",IF(A48&lt;=$M$4,0,MIN($M$7,B48)),IF(DADOS!$C$11="AMERICANO",IF(A48=$M$3,MIN(DADOS!$C$7,B48),0),0))))</f>
        <v>0</v>
      </c>
      <c r="D48" s="14">
        <f t="shared" si="0"/>
        <v>0</v>
      </c>
      <c r="E48" s="14">
        <f>IF(A48&gt;$M$3,0,IF(DADOS!$C$11="PRICE",IF(A48&lt;=$M$4,D48,$M$6),IF(DADOS!$C$11="SAC",IF(A48&lt;=$M$4,D48,$M$7 + D48),IF(DADOS!$C$11="AMERICANO",IF(A48&lt;$M$3,D48,D48+C48),0))))</f>
        <v>0</v>
      </c>
      <c r="F48" s="14">
        <f>IF(A48&gt;$M$3,0,DADOS!$C$18)</f>
        <v>0</v>
      </c>
      <c r="G48" s="14">
        <f>IF(A48&gt;$M$3,0,B48*DADOS!$C$19)</f>
        <v>0</v>
      </c>
      <c r="H48" s="14">
        <f t="shared" si="1"/>
        <v>0</v>
      </c>
      <c r="I48" s="14">
        <f t="shared" si="2"/>
        <v>0</v>
      </c>
      <c r="J48" s="14">
        <f t="shared" si="3"/>
        <v>0</v>
      </c>
    </row>
    <row r="49" spans="1:10" x14ac:dyDescent="0.25">
      <c r="A49" s="15">
        <v>43</v>
      </c>
      <c r="B49" s="14">
        <f>IF(A49&gt;$M$3,0,IF(A49=1,DADOS!$C$7,I48))</f>
        <v>0</v>
      </c>
      <c r="C49" s="14">
        <f>IF(A49&gt;$M$3,0,IF(DADOS!$C$11="PRICE",IF(A49&lt;=$M$4,0,MAX(0,E49-D49)),IF(DADOS!$C$11="SAC",IF(A49&lt;=$M$4,0,MIN($M$7,B49)),IF(DADOS!$C$11="AMERICANO",IF(A49=$M$3,MIN(DADOS!$C$7,B49),0),0))))</f>
        <v>0</v>
      </c>
      <c r="D49" s="14">
        <f t="shared" si="0"/>
        <v>0</v>
      </c>
      <c r="E49" s="14">
        <f>IF(A49&gt;$M$3,0,IF(DADOS!$C$11="PRICE",IF(A49&lt;=$M$4,D49,$M$6),IF(DADOS!$C$11="SAC",IF(A49&lt;=$M$4,D49,$M$7 + D49),IF(DADOS!$C$11="AMERICANO",IF(A49&lt;$M$3,D49,D49+C49),0))))</f>
        <v>0</v>
      </c>
      <c r="F49" s="14">
        <f>IF(A49&gt;$M$3,0,DADOS!$C$18)</f>
        <v>0</v>
      </c>
      <c r="G49" s="14">
        <f>IF(A49&gt;$M$3,0,B49*DADOS!$C$19)</f>
        <v>0</v>
      </c>
      <c r="H49" s="14">
        <f t="shared" si="1"/>
        <v>0</v>
      </c>
      <c r="I49" s="14">
        <f t="shared" si="2"/>
        <v>0</v>
      </c>
      <c r="J49" s="14">
        <f t="shared" si="3"/>
        <v>0</v>
      </c>
    </row>
    <row r="50" spans="1:10" x14ac:dyDescent="0.25">
      <c r="A50" s="15">
        <v>44</v>
      </c>
      <c r="B50" s="14">
        <f>IF(A50&gt;$M$3,0,IF(A50=1,DADOS!$C$7,I49))</f>
        <v>0</v>
      </c>
      <c r="C50" s="14">
        <f>IF(A50&gt;$M$3,0,IF(DADOS!$C$11="PRICE",IF(A50&lt;=$M$4,0,MAX(0,E50-D50)),IF(DADOS!$C$11="SAC",IF(A50&lt;=$M$4,0,MIN($M$7,B50)),IF(DADOS!$C$11="AMERICANO",IF(A50=$M$3,MIN(DADOS!$C$7,B50),0),0))))</f>
        <v>0</v>
      </c>
      <c r="D50" s="14">
        <f t="shared" si="0"/>
        <v>0</v>
      </c>
      <c r="E50" s="14">
        <f>IF(A50&gt;$M$3,0,IF(DADOS!$C$11="PRICE",IF(A50&lt;=$M$4,D50,$M$6),IF(DADOS!$C$11="SAC",IF(A50&lt;=$M$4,D50,$M$7 + D50),IF(DADOS!$C$11="AMERICANO",IF(A50&lt;$M$3,D50,D50+C50),0))))</f>
        <v>0</v>
      </c>
      <c r="F50" s="14">
        <f>IF(A50&gt;$M$3,0,DADOS!$C$18)</f>
        <v>0</v>
      </c>
      <c r="G50" s="14">
        <f>IF(A50&gt;$M$3,0,B50*DADOS!$C$19)</f>
        <v>0</v>
      </c>
      <c r="H50" s="14">
        <f t="shared" si="1"/>
        <v>0</v>
      </c>
      <c r="I50" s="14">
        <f t="shared" si="2"/>
        <v>0</v>
      </c>
      <c r="J50" s="14">
        <f t="shared" si="3"/>
        <v>0</v>
      </c>
    </row>
    <row r="51" spans="1:10" x14ac:dyDescent="0.25">
      <c r="A51" s="15">
        <v>45</v>
      </c>
      <c r="B51" s="14">
        <f>IF(A51&gt;$M$3,0,IF(A51=1,DADOS!$C$7,I50))</f>
        <v>0</v>
      </c>
      <c r="C51" s="14">
        <f>IF(A51&gt;$M$3,0,IF(DADOS!$C$11="PRICE",IF(A51&lt;=$M$4,0,MAX(0,E51-D51)),IF(DADOS!$C$11="SAC",IF(A51&lt;=$M$4,0,MIN($M$7,B51)),IF(DADOS!$C$11="AMERICANO",IF(A51=$M$3,MIN(DADOS!$C$7,B51),0),0))))</f>
        <v>0</v>
      </c>
      <c r="D51" s="14">
        <f t="shared" si="0"/>
        <v>0</v>
      </c>
      <c r="E51" s="14">
        <f>IF(A51&gt;$M$3,0,IF(DADOS!$C$11="PRICE",IF(A51&lt;=$M$4,D51,$M$6),IF(DADOS!$C$11="SAC",IF(A51&lt;=$M$4,D51,$M$7 + D51),IF(DADOS!$C$11="AMERICANO",IF(A51&lt;$M$3,D51,D51+C51),0))))</f>
        <v>0</v>
      </c>
      <c r="F51" s="14">
        <f>IF(A51&gt;$M$3,0,DADOS!$C$18)</f>
        <v>0</v>
      </c>
      <c r="G51" s="14">
        <f>IF(A51&gt;$M$3,0,B51*DADOS!$C$19)</f>
        <v>0</v>
      </c>
      <c r="H51" s="14">
        <f t="shared" si="1"/>
        <v>0</v>
      </c>
      <c r="I51" s="14">
        <f t="shared" si="2"/>
        <v>0</v>
      </c>
      <c r="J51" s="14">
        <f t="shared" si="3"/>
        <v>0</v>
      </c>
    </row>
    <row r="52" spans="1:10" x14ac:dyDescent="0.25">
      <c r="A52" s="15">
        <v>46</v>
      </c>
      <c r="B52" s="14">
        <f>IF(A52&gt;$M$3,0,IF(A52=1,DADOS!$C$7,I51))</f>
        <v>0</v>
      </c>
      <c r="C52" s="14">
        <f>IF(A52&gt;$M$3,0,IF(DADOS!$C$11="PRICE",IF(A52&lt;=$M$4,0,MAX(0,E52-D52)),IF(DADOS!$C$11="SAC",IF(A52&lt;=$M$4,0,MIN($M$7,B52)),IF(DADOS!$C$11="AMERICANO",IF(A52=$M$3,MIN(DADOS!$C$7,B52),0),0))))</f>
        <v>0</v>
      </c>
      <c r="D52" s="14">
        <f t="shared" si="0"/>
        <v>0</v>
      </c>
      <c r="E52" s="14">
        <f>IF(A52&gt;$M$3,0,IF(DADOS!$C$11="PRICE",IF(A52&lt;=$M$4,D52,$M$6),IF(DADOS!$C$11="SAC",IF(A52&lt;=$M$4,D52,$M$7 + D52),IF(DADOS!$C$11="AMERICANO",IF(A52&lt;$M$3,D52,D52+C52),0))))</f>
        <v>0</v>
      </c>
      <c r="F52" s="14">
        <f>IF(A52&gt;$M$3,0,DADOS!$C$18)</f>
        <v>0</v>
      </c>
      <c r="G52" s="14">
        <f>IF(A52&gt;$M$3,0,B52*DADOS!$C$19)</f>
        <v>0</v>
      </c>
      <c r="H52" s="14">
        <f t="shared" si="1"/>
        <v>0</v>
      </c>
      <c r="I52" s="14">
        <f t="shared" si="2"/>
        <v>0</v>
      </c>
      <c r="J52" s="14">
        <f t="shared" si="3"/>
        <v>0</v>
      </c>
    </row>
    <row r="53" spans="1:10" x14ac:dyDescent="0.25">
      <c r="A53" s="15">
        <v>47</v>
      </c>
      <c r="B53" s="14">
        <f>IF(A53&gt;$M$3,0,IF(A53=1,DADOS!$C$7,I52))</f>
        <v>0</v>
      </c>
      <c r="C53" s="14">
        <f>IF(A53&gt;$M$3,0,IF(DADOS!$C$11="PRICE",IF(A53&lt;=$M$4,0,MAX(0,E53-D53)),IF(DADOS!$C$11="SAC",IF(A53&lt;=$M$4,0,MIN($M$7,B53)),IF(DADOS!$C$11="AMERICANO",IF(A53=$M$3,MIN(DADOS!$C$7,B53),0),0))))</f>
        <v>0</v>
      </c>
      <c r="D53" s="14">
        <f t="shared" si="0"/>
        <v>0</v>
      </c>
      <c r="E53" s="14">
        <f>IF(A53&gt;$M$3,0,IF(DADOS!$C$11="PRICE",IF(A53&lt;=$M$4,D53,$M$6),IF(DADOS!$C$11="SAC",IF(A53&lt;=$M$4,D53,$M$7 + D53),IF(DADOS!$C$11="AMERICANO",IF(A53&lt;$M$3,D53,D53+C53),0))))</f>
        <v>0</v>
      </c>
      <c r="F53" s="14">
        <f>IF(A53&gt;$M$3,0,DADOS!$C$18)</f>
        <v>0</v>
      </c>
      <c r="G53" s="14">
        <f>IF(A53&gt;$M$3,0,B53*DADOS!$C$19)</f>
        <v>0</v>
      </c>
      <c r="H53" s="14">
        <f t="shared" si="1"/>
        <v>0</v>
      </c>
      <c r="I53" s="14">
        <f t="shared" si="2"/>
        <v>0</v>
      </c>
      <c r="J53" s="14">
        <f t="shared" si="3"/>
        <v>0</v>
      </c>
    </row>
    <row r="54" spans="1:10" x14ac:dyDescent="0.25">
      <c r="A54" s="15">
        <v>48</v>
      </c>
      <c r="B54" s="14">
        <f>IF(A54&gt;$M$3,0,IF(A54=1,DADOS!$C$7,I53))</f>
        <v>0</v>
      </c>
      <c r="C54" s="14">
        <f>IF(A54&gt;$M$3,0,IF(DADOS!$C$11="PRICE",IF(A54&lt;=$M$4,0,MAX(0,E54-D54)),IF(DADOS!$C$11="SAC",IF(A54&lt;=$M$4,0,MIN($M$7,B54)),IF(DADOS!$C$11="AMERICANO",IF(A54=$M$3,MIN(DADOS!$C$7,B54),0),0))))</f>
        <v>0</v>
      </c>
      <c r="D54" s="14">
        <f t="shared" si="0"/>
        <v>0</v>
      </c>
      <c r="E54" s="14">
        <f>IF(A54&gt;$M$3,0,IF(DADOS!$C$11="PRICE",IF(A54&lt;=$M$4,D54,$M$6),IF(DADOS!$C$11="SAC",IF(A54&lt;=$M$4,D54,$M$7 + D54),IF(DADOS!$C$11="AMERICANO",IF(A54&lt;$M$3,D54,D54+C54),0))))</f>
        <v>0</v>
      </c>
      <c r="F54" s="14">
        <f>IF(A54&gt;$M$3,0,DADOS!$C$18)</f>
        <v>0</v>
      </c>
      <c r="G54" s="14">
        <f>IF(A54&gt;$M$3,0,B54*DADOS!$C$19)</f>
        <v>0</v>
      </c>
      <c r="H54" s="14">
        <f t="shared" si="1"/>
        <v>0</v>
      </c>
      <c r="I54" s="14">
        <f t="shared" si="2"/>
        <v>0</v>
      </c>
      <c r="J54" s="14">
        <f t="shared" si="3"/>
        <v>0</v>
      </c>
    </row>
    <row r="55" spans="1:10" x14ac:dyDescent="0.25">
      <c r="A55" s="15">
        <v>49</v>
      </c>
      <c r="B55" s="14">
        <f>IF(A55&gt;$M$3,0,IF(A55=1,DADOS!$C$7,I54))</f>
        <v>0</v>
      </c>
      <c r="C55" s="14">
        <f>IF(A55&gt;$M$3,0,IF(DADOS!$C$11="PRICE",IF(A55&lt;=$M$4,0,MAX(0,E55-D55)),IF(DADOS!$C$11="SAC",IF(A55&lt;=$M$4,0,MIN($M$7,B55)),IF(DADOS!$C$11="AMERICANO",IF(A55=$M$3,MIN(DADOS!$C$7,B55),0),0))))</f>
        <v>0</v>
      </c>
      <c r="D55" s="14">
        <f t="shared" si="0"/>
        <v>0</v>
      </c>
      <c r="E55" s="14">
        <f>IF(A55&gt;$M$3,0,IF(DADOS!$C$11="PRICE",IF(A55&lt;=$M$4,D55,$M$6),IF(DADOS!$C$11="SAC",IF(A55&lt;=$M$4,D55,$M$7 + D55),IF(DADOS!$C$11="AMERICANO",IF(A55&lt;$M$3,D55,D55+C55),0))))</f>
        <v>0</v>
      </c>
      <c r="F55" s="14">
        <f>IF(A55&gt;$M$3,0,DADOS!$C$18)</f>
        <v>0</v>
      </c>
      <c r="G55" s="14">
        <f>IF(A55&gt;$M$3,0,B55*DADOS!$C$19)</f>
        <v>0</v>
      </c>
      <c r="H55" s="14">
        <f t="shared" si="1"/>
        <v>0</v>
      </c>
      <c r="I55" s="14">
        <f t="shared" si="2"/>
        <v>0</v>
      </c>
      <c r="J55" s="14">
        <f t="shared" si="3"/>
        <v>0</v>
      </c>
    </row>
    <row r="56" spans="1:10" x14ac:dyDescent="0.25">
      <c r="A56" s="15">
        <v>50</v>
      </c>
      <c r="B56" s="14">
        <f>IF(A56&gt;$M$3,0,IF(A56=1,DADOS!$C$7,I55))</f>
        <v>0</v>
      </c>
      <c r="C56" s="14">
        <f>IF(A56&gt;$M$3,0,IF(DADOS!$C$11="PRICE",IF(A56&lt;=$M$4,0,MAX(0,E56-D56)),IF(DADOS!$C$11="SAC",IF(A56&lt;=$M$4,0,MIN($M$7,B56)),IF(DADOS!$C$11="AMERICANO",IF(A56=$M$3,MIN(DADOS!$C$7,B56),0),0))))</f>
        <v>0</v>
      </c>
      <c r="D56" s="14">
        <f t="shared" si="0"/>
        <v>0</v>
      </c>
      <c r="E56" s="14">
        <f>IF(A56&gt;$M$3,0,IF(DADOS!$C$11="PRICE",IF(A56&lt;=$M$4,D56,$M$6),IF(DADOS!$C$11="SAC",IF(A56&lt;=$M$4,D56,$M$7 + D56),IF(DADOS!$C$11="AMERICANO",IF(A56&lt;$M$3,D56,D56+C56),0))))</f>
        <v>0</v>
      </c>
      <c r="F56" s="14">
        <f>IF(A56&gt;$M$3,0,DADOS!$C$18)</f>
        <v>0</v>
      </c>
      <c r="G56" s="14">
        <f>IF(A56&gt;$M$3,0,B56*DADOS!$C$19)</f>
        <v>0</v>
      </c>
      <c r="H56" s="14">
        <f t="shared" si="1"/>
        <v>0</v>
      </c>
      <c r="I56" s="14">
        <f t="shared" si="2"/>
        <v>0</v>
      </c>
      <c r="J56" s="14">
        <f t="shared" si="3"/>
        <v>0</v>
      </c>
    </row>
    <row r="57" spans="1:10" x14ac:dyDescent="0.25">
      <c r="A57" s="15">
        <v>51</v>
      </c>
      <c r="B57" s="14">
        <f>IF(A57&gt;$M$3,0,IF(A57=1,DADOS!$C$7,I56))</f>
        <v>0</v>
      </c>
      <c r="C57" s="14">
        <f>IF(A57&gt;$M$3,0,IF(DADOS!$C$11="PRICE",IF(A57&lt;=$M$4,0,MAX(0,E57-D57)),IF(DADOS!$C$11="SAC",IF(A57&lt;=$M$4,0,MIN($M$7,B57)),IF(DADOS!$C$11="AMERICANO",IF(A57=$M$3,MIN(DADOS!$C$7,B57),0),0))))</f>
        <v>0</v>
      </c>
      <c r="D57" s="14">
        <f t="shared" si="0"/>
        <v>0</v>
      </c>
      <c r="E57" s="14">
        <f>IF(A57&gt;$M$3,0,IF(DADOS!$C$11="PRICE",IF(A57&lt;=$M$4,D57,$M$6),IF(DADOS!$C$11="SAC",IF(A57&lt;=$M$4,D57,$M$7 + D57),IF(DADOS!$C$11="AMERICANO",IF(A57&lt;$M$3,D57,D57+C57),0))))</f>
        <v>0</v>
      </c>
      <c r="F57" s="14">
        <f>IF(A57&gt;$M$3,0,DADOS!$C$18)</f>
        <v>0</v>
      </c>
      <c r="G57" s="14">
        <f>IF(A57&gt;$M$3,0,B57*DADOS!$C$19)</f>
        <v>0</v>
      </c>
      <c r="H57" s="14">
        <f t="shared" si="1"/>
        <v>0</v>
      </c>
      <c r="I57" s="14">
        <f t="shared" si="2"/>
        <v>0</v>
      </c>
      <c r="J57" s="14">
        <f t="shared" si="3"/>
        <v>0</v>
      </c>
    </row>
    <row r="58" spans="1:10" x14ac:dyDescent="0.25">
      <c r="A58" s="15">
        <v>52</v>
      </c>
      <c r="B58" s="14">
        <f>IF(A58&gt;$M$3,0,IF(A58=1,DADOS!$C$7,I57))</f>
        <v>0</v>
      </c>
      <c r="C58" s="14">
        <f>IF(A58&gt;$M$3,0,IF(DADOS!$C$11="PRICE",IF(A58&lt;=$M$4,0,MAX(0,E58-D58)),IF(DADOS!$C$11="SAC",IF(A58&lt;=$M$4,0,MIN($M$7,B58)),IF(DADOS!$C$11="AMERICANO",IF(A58=$M$3,MIN(DADOS!$C$7,B58),0),0))))</f>
        <v>0</v>
      </c>
      <c r="D58" s="14">
        <f t="shared" si="0"/>
        <v>0</v>
      </c>
      <c r="E58" s="14">
        <f>IF(A58&gt;$M$3,0,IF(DADOS!$C$11="PRICE",IF(A58&lt;=$M$4,D58,$M$6),IF(DADOS!$C$11="SAC",IF(A58&lt;=$M$4,D58,$M$7 + D58),IF(DADOS!$C$11="AMERICANO",IF(A58&lt;$M$3,D58,D58+C58),0))))</f>
        <v>0</v>
      </c>
      <c r="F58" s="14">
        <f>IF(A58&gt;$M$3,0,DADOS!$C$18)</f>
        <v>0</v>
      </c>
      <c r="G58" s="14">
        <f>IF(A58&gt;$M$3,0,B58*DADOS!$C$19)</f>
        <v>0</v>
      </c>
      <c r="H58" s="14">
        <f t="shared" si="1"/>
        <v>0</v>
      </c>
      <c r="I58" s="14">
        <f t="shared" si="2"/>
        <v>0</v>
      </c>
      <c r="J58" s="14">
        <f t="shared" si="3"/>
        <v>0</v>
      </c>
    </row>
    <row r="59" spans="1:10" x14ac:dyDescent="0.25">
      <c r="A59" s="15">
        <v>53</v>
      </c>
      <c r="B59" s="14">
        <f>IF(A59&gt;$M$3,0,IF(A59=1,DADOS!$C$7,I58))</f>
        <v>0</v>
      </c>
      <c r="C59" s="14">
        <f>IF(A59&gt;$M$3,0,IF(DADOS!$C$11="PRICE",IF(A59&lt;=$M$4,0,MAX(0,E59-D59)),IF(DADOS!$C$11="SAC",IF(A59&lt;=$M$4,0,MIN($M$7,B59)),IF(DADOS!$C$11="AMERICANO",IF(A59=$M$3,MIN(DADOS!$C$7,B59),0),0))))</f>
        <v>0</v>
      </c>
      <c r="D59" s="14">
        <f t="shared" si="0"/>
        <v>0</v>
      </c>
      <c r="E59" s="14">
        <f>IF(A59&gt;$M$3,0,IF(DADOS!$C$11="PRICE",IF(A59&lt;=$M$4,D59,$M$6),IF(DADOS!$C$11="SAC",IF(A59&lt;=$M$4,D59,$M$7 + D59),IF(DADOS!$C$11="AMERICANO",IF(A59&lt;$M$3,D59,D59+C59),0))))</f>
        <v>0</v>
      </c>
      <c r="F59" s="14">
        <f>IF(A59&gt;$M$3,0,DADOS!$C$18)</f>
        <v>0</v>
      </c>
      <c r="G59" s="14">
        <f>IF(A59&gt;$M$3,0,B59*DADOS!$C$19)</f>
        <v>0</v>
      </c>
      <c r="H59" s="14">
        <f t="shared" si="1"/>
        <v>0</v>
      </c>
      <c r="I59" s="14">
        <f t="shared" si="2"/>
        <v>0</v>
      </c>
      <c r="J59" s="14">
        <f t="shared" si="3"/>
        <v>0</v>
      </c>
    </row>
    <row r="60" spans="1:10" x14ac:dyDescent="0.25">
      <c r="A60" s="15">
        <v>54</v>
      </c>
      <c r="B60" s="14">
        <f>IF(A60&gt;$M$3,0,IF(A60=1,DADOS!$C$7,I59))</f>
        <v>0</v>
      </c>
      <c r="C60" s="14">
        <f>IF(A60&gt;$M$3,0,IF(DADOS!$C$11="PRICE",IF(A60&lt;=$M$4,0,MAX(0,E60-D60)),IF(DADOS!$C$11="SAC",IF(A60&lt;=$M$4,0,MIN($M$7,B60)),IF(DADOS!$C$11="AMERICANO",IF(A60=$M$3,MIN(DADOS!$C$7,B60),0),0))))</f>
        <v>0</v>
      </c>
      <c r="D60" s="14">
        <f t="shared" si="0"/>
        <v>0</v>
      </c>
      <c r="E60" s="14">
        <f>IF(A60&gt;$M$3,0,IF(DADOS!$C$11="PRICE",IF(A60&lt;=$M$4,D60,$M$6),IF(DADOS!$C$11="SAC",IF(A60&lt;=$M$4,D60,$M$7 + D60),IF(DADOS!$C$11="AMERICANO",IF(A60&lt;$M$3,D60,D60+C60),0))))</f>
        <v>0</v>
      </c>
      <c r="F60" s="14">
        <f>IF(A60&gt;$M$3,0,DADOS!$C$18)</f>
        <v>0</v>
      </c>
      <c r="G60" s="14">
        <f>IF(A60&gt;$M$3,0,B60*DADOS!$C$19)</f>
        <v>0</v>
      </c>
      <c r="H60" s="14">
        <f t="shared" si="1"/>
        <v>0</v>
      </c>
      <c r="I60" s="14">
        <f t="shared" si="2"/>
        <v>0</v>
      </c>
      <c r="J60" s="14">
        <f t="shared" si="3"/>
        <v>0</v>
      </c>
    </row>
    <row r="61" spans="1:10" x14ac:dyDescent="0.25">
      <c r="A61" s="15">
        <v>55</v>
      </c>
      <c r="B61" s="14">
        <f>IF(A61&gt;$M$3,0,IF(A61=1,DADOS!$C$7,I60))</f>
        <v>0</v>
      </c>
      <c r="C61" s="14">
        <f>IF(A61&gt;$M$3,0,IF(DADOS!$C$11="PRICE",IF(A61&lt;=$M$4,0,MAX(0,E61-D61)),IF(DADOS!$C$11="SAC",IF(A61&lt;=$M$4,0,MIN($M$7,B61)),IF(DADOS!$C$11="AMERICANO",IF(A61=$M$3,MIN(DADOS!$C$7,B61),0),0))))</f>
        <v>0</v>
      </c>
      <c r="D61" s="14">
        <f t="shared" si="0"/>
        <v>0</v>
      </c>
      <c r="E61" s="14">
        <f>IF(A61&gt;$M$3,0,IF(DADOS!$C$11="PRICE",IF(A61&lt;=$M$4,D61,$M$6),IF(DADOS!$C$11="SAC",IF(A61&lt;=$M$4,D61,$M$7 + D61),IF(DADOS!$C$11="AMERICANO",IF(A61&lt;$M$3,D61,D61+C61),0))))</f>
        <v>0</v>
      </c>
      <c r="F61" s="14">
        <f>IF(A61&gt;$M$3,0,DADOS!$C$18)</f>
        <v>0</v>
      </c>
      <c r="G61" s="14">
        <f>IF(A61&gt;$M$3,0,B61*DADOS!$C$19)</f>
        <v>0</v>
      </c>
      <c r="H61" s="14">
        <f t="shared" si="1"/>
        <v>0</v>
      </c>
      <c r="I61" s="14">
        <f t="shared" si="2"/>
        <v>0</v>
      </c>
      <c r="J61" s="14">
        <f t="shared" si="3"/>
        <v>0</v>
      </c>
    </row>
    <row r="62" spans="1:10" x14ac:dyDescent="0.25">
      <c r="A62" s="15">
        <v>56</v>
      </c>
      <c r="B62" s="14">
        <f>IF(A62&gt;$M$3,0,IF(A62=1,DADOS!$C$7,I61))</f>
        <v>0</v>
      </c>
      <c r="C62" s="14">
        <f>IF(A62&gt;$M$3,0,IF(DADOS!$C$11="PRICE",IF(A62&lt;=$M$4,0,MAX(0,E62-D62)),IF(DADOS!$C$11="SAC",IF(A62&lt;=$M$4,0,MIN($M$7,B62)),IF(DADOS!$C$11="AMERICANO",IF(A62=$M$3,MIN(DADOS!$C$7,B62),0),0))))</f>
        <v>0</v>
      </c>
      <c r="D62" s="14">
        <f t="shared" si="0"/>
        <v>0</v>
      </c>
      <c r="E62" s="14">
        <f>IF(A62&gt;$M$3,0,IF(DADOS!$C$11="PRICE",IF(A62&lt;=$M$4,D62,$M$6),IF(DADOS!$C$11="SAC",IF(A62&lt;=$M$4,D62,$M$7 + D62),IF(DADOS!$C$11="AMERICANO",IF(A62&lt;$M$3,D62,D62+C62),0))))</f>
        <v>0</v>
      </c>
      <c r="F62" s="14">
        <f>IF(A62&gt;$M$3,0,DADOS!$C$18)</f>
        <v>0</v>
      </c>
      <c r="G62" s="14">
        <f>IF(A62&gt;$M$3,0,B62*DADOS!$C$19)</f>
        <v>0</v>
      </c>
      <c r="H62" s="14">
        <f t="shared" si="1"/>
        <v>0</v>
      </c>
      <c r="I62" s="14">
        <f t="shared" si="2"/>
        <v>0</v>
      </c>
      <c r="J62" s="14">
        <f t="shared" si="3"/>
        <v>0</v>
      </c>
    </row>
    <row r="63" spans="1:10" x14ac:dyDescent="0.25">
      <c r="A63" s="15">
        <v>57</v>
      </c>
      <c r="B63" s="14">
        <f>IF(A63&gt;$M$3,0,IF(A63=1,DADOS!$C$7,I62))</f>
        <v>0</v>
      </c>
      <c r="C63" s="14">
        <f>IF(A63&gt;$M$3,0,IF(DADOS!$C$11="PRICE",IF(A63&lt;=$M$4,0,MAX(0,E63-D63)),IF(DADOS!$C$11="SAC",IF(A63&lt;=$M$4,0,MIN($M$7,B63)),IF(DADOS!$C$11="AMERICANO",IF(A63=$M$3,MIN(DADOS!$C$7,B63),0),0))))</f>
        <v>0</v>
      </c>
      <c r="D63" s="14">
        <f t="shared" si="0"/>
        <v>0</v>
      </c>
      <c r="E63" s="14">
        <f>IF(A63&gt;$M$3,0,IF(DADOS!$C$11="PRICE",IF(A63&lt;=$M$4,D63,$M$6),IF(DADOS!$C$11="SAC",IF(A63&lt;=$M$4,D63,$M$7 + D63),IF(DADOS!$C$11="AMERICANO",IF(A63&lt;$M$3,D63,D63+C63),0))))</f>
        <v>0</v>
      </c>
      <c r="F63" s="14">
        <f>IF(A63&gt;$M$3,0,DADOS!$C$18)</f>
        <v>0</v>
      </c>
      <c r="G63" s="14">
        <f>IF(A63&gt;$M$3,0,B63*DADOS!$C$19)</f>
        <v>0</v>
      </c>
      <c r="H63" s="14">
        <f t="shared" si="1"/>
        <v>0</v>
      </c>
      <c r="I63" s="14">
        <f t="shared" si="2"/>
        <v>0</v>
      </c>
      <c r="J63" s="14">
        <f t="shared" si="3"/>
        <v>0</v>
      </c>
    </row>
    <row r="64" spans="1:10" x14ac:dyDescent="0.25">
      <c r="A64" s="15">
        <v>58</v>
      </c>
      <c r="B64" s="14">
        <f>IF(A64&gt;$M$3,0,IF(A64=1,DADOS!$C$7,I63))</f>
        <v>0</v>
      </c>
      <c r="C64" s="14">
        <f>IF(A64&gt;$M$3,0,IF(DADOS!$C$11="PRICE",IF(A64&lt;=$M$4,0,MAX(0,E64-D64)),IF(DADOS!$C$11="SAC",IF(A64&lt;=$M$4,0,MIN($M$7,B64)),IF(DADOS!$C$11="AMERICANO",IF(A64=$M$3,MIN(DADOS!$C$7,B64),0),0))))</f>
        <v>0</v>
      </c>
      <c r="D64" s="14">
        <f t="shared" si="0"/>
        <v>0</v>
      </c>
      <c r="E64" s="14">
        <f>IF(A64&gt;$M$3,0,IF(DADOS!$C$11="PRICE",IF(A64&lt;=$M$4,D64,$M$6),IF(DADOS!$C$11="SAC",IF(A64&lt;=$M$4,D64,$M$7 + D64),IF(DADOS!$C$11="AMERICANO",IF(A64&lt;$M$3,D64,D64+C64),0))))</f>
        <v>0</v>
      </c>
      <c r="F64" s="14">
        <f>IF(A64&gt;$M$3,0,DADOS!$C$18)</f>
        <v>0</v>
      </c>
      <c r="G64" s="14">
        <f>IF(A64&gt;$M$3,0,B64*DADOS!$C$19)</f>
        <v>0</v>
      </c>
      <c r="H64" s="14">
        <f t="shared" si="1"/>
        <v>0</v>
      </c>
      <c r="I64" s="14">
        <f t="shared" si="2"/>
        <v>0</v>
      </c>
      <c r="J64" s="14">
        <f t="shared" si="3"/>
        <v>0</v>
      </c>
    </row>
    <row r="65" spans="1:10" x14ac:dyDescent="0.25">
      <c r="A65" s="15">
        <v>59</v>
      </c>
      <c r="B65" s="14">
        <f>IF(A65&gt;$M$3,0,IF(A65=1,DADOS!$C$7,I64))</f>
        <v>0</v>
      </c>
      <c r="C65" s="14">
        <f>IF(A65&gt;$M$3,0,IF(DADOS!$C$11="PRICE",IF(A65&lt;=$M$4,0,MAX(0,E65-D65)),IF(DADOS!$C$11="SAC",IF(A65&lt;=$M$4,0,MIN($M$7,B65)),IF(DADOS!$C$11="AMERICANO",IF(A65=$M$3,MIN(DADOS!$C$7,B65),0),0))))</f>
        <v>0</v>
      </c>
      <c r="D65" s="14">
        <f t="shared" si="0"/>
        <v>0</v>
      </c>
      <c r="E65" s="14">
        <f>IF(A65&gt;$M$3,0,IF(DADOS!$C$11="PRICE",IF(A65&lt;=$M$4,D65,$M$6),IF(DADOS!$C$11="SAC",IF(A65&lt;=$M$4,D65,$M$7 + D65),IF(DADOS!$C$11="AMERICANO",IF(A65&lt;$M$3,D65,D65+C65),0))))</f>
        <v>0</v>
      </c>
      <c r="F65" s="14">
        <f>IF(A65&gt;$M$3,0,DADOS!$C$18)</f>
        <v>0</v>
      </c>
      <c r="G65" s="14">
        <f>IF(A65&gt;$M$3,0,B65*DADOS!$C$19)</f>
        <v>0</v>
      </c>
      <c r="H65" s="14">
        <f t="shared" si="1"/>
        <v>0</v>
      </c>
      <c r="I65" s="14">
        <f t="shared" si="2"/>
        <v>0</v>
      </c>
      <c r="J65" s="14">
        <f t="shared" si="3"/>
        <v>0</v>
      </c>
    </row>
    <row r="66" spans="1:10" x14ac:dyDescent="0.25">
      <c r="A66" s="15">
        <v>60</v>
      </c>
      <c r="B66" s="14">
        <f>IF(A66&gt;$M$3,0,IF(A66=1,DADOS!$C$7,I65))</f>
        <v>0</v>
      </c>
      <c r="C66" s="14">
        <f>IF(A66&gt;$M$3,0,IF(DADOS!$C$11="PRICE",IF(A66&lt;=$M$4,0,MAX(0,E66-D66)),IF(DADOS!$C$11="SAC",IF(A66&lt;=$M$4,0,MIN($M$7,B66)),IF(DADOS!$C$11="AMERICANO",IF(A66=$M$3,MIN(DADOS!$C$7,B66),0),0))))</f>
        <v>0</v>
      </c>
      <c r="D66" s="14">
        <f t="shared" si="0"/>
        <v>0</v>
      </c>
      <c r="E66" s="14">
        <f>IF(A66&gt;$M$3,0,IF(DADOS!$C$11="PRICE",IF(A66&lt;=$M$4,D66,$M$6),IF(DADOS!$C$11="SAC",IF(A66&lt;=$M$4,D66,$M$7 + D66),IF(DADOS!$C$11="AMERICANO",IF(A66&lt;$M$3,D66,D66+C66),0))))</f>
        <v>0</v>
      </c>
      <c r="F66" s="14">
        <f>IF(A66&gt;$M$3,0,DADOS!$C$18)</f>
        <v>0</v>
      </c>
      <c r="G66" s="14">
        <f>IF(A66&gt;$M$3,0,B66*DADOS!$C$19)</f>
        <v>0</v>
      </c>
      <c r="H66" s="14">
        <f t="shared" si="1"/>
        <v>0</v>
      </c>
      <c r="I66" s="14">
        <f t="shared" si="2"/>
        <v>0</v>
      </c>
      <c r="J66" s="14">
        <f t="shared" si="3"/>
        <v>0</v>
      </c>
    </row>
    <row r="67" spans="1:10" x14ac:dyDescent="0.25">
      <c r="A67" s="15">
        <v>61</v>
      </c>
      <c r="B67" s="14">
        <f>IF(A67&gt;$M$3,0,IF(A67=1,DADOS!$C$7,I66))</f>
        <v>0</v>
      </c>
      <c r="C67" s="14">
        <f>IF(A67&gt;$M$3,0,IF(DADOS!$C$11="PRICE",IF(A67&lt;=$M$4,0,MAX(0,E67-D67)),IF(DADOS!$C$11="SAC",IF(A67&lt;=$M$4,0,MIN($M$7,B67)),IF(DADOS!$C$11="AMERICANO",IF(A67=$M$3,MIN(DADOS!$C$7,B67),0),0))))</f>
        <v>0</v>
      </c>
      <c r="D67" s="14">
        <f t="shared" si="0"/>
        <v>0</v>
      </c>
      <c r="E67" s="14">
        <f>IF(A67&gt;$M$3,0,IF(DADOS!$C$11="PRICE",IF(A67&lt;=$M$4,D67,$M$6),IF(DADOS!$C$11="SAC",IF(A67&lt;=$M$4,D67,$M$7 + D67),IF(DADOS!$C$11="AMERICANO",IF(A67&lt;$M$3,D67,D67+C67),0))))</f>
        <v>0</v>
      </c>
      <c r="F67" s="14">
        <f>IF(A67&gt;$M$3,0,DADOS!$C$18)</f>
        <v>0</v>
      </c>
      <c r="G67" s="14">
        <f>IF(A67&gt;$M$3,0,B67*DADOS!$C$19)</f>
        <v>0</v>
      </c>
      <c r="H67" s="14">
        <f t="shared" si="1"/>
        <v>0</v>
      </c>
      <c r="I67" s="14">
        <f t="shared" si="2"/>
        <v>0</v>
      </c>
      <c r="J67" s="14">
        <f t="shared" si="3"/>
        <v>0</v>
      </c>
    </row>
    <row r="68" spans="1:10" x14ac:dyDescent="0.25">
      <c r="A68" s="15">
        <v>62</v>
      </c>
      <c r="B68" s="14">
        <f>IF(A68&gt;$M$3,0,IF(A68=1,DADOS!$C$7,I67))</f>
        <v>0</v>
      </c>
      <c r="C68" s="14">
        <f>IF(A68&gt;$M$3,0,IF(DADOS!$C$11="PRICE",IF(A68&lt;=$M$4,0,MAX(0,E68-D68)),IF(DADOS!$C$11="SAC",IF(A68&lt;=$M$4,0,MIN($M$7,B68)),IF(DADOS!$C$11="AMERICANO",IF(A68=$M$3,MIN(DADOS!$C$7,B68),0),0))))</f>
        <v>0</v>
      </c>
      <c r="D68" s="14">
        <f t="shared" si="0"/>
        <v>0</v>
      </c>
      <c r="E68" s="14">
        <f>IF(A68&gt;$M$3,0,IF(DADOS!$C$11="PRICE",IF(A68&lt;=$M$4,D68,$M$6),IF(DADOS!$C$11="SAC",IF(A68&lt;=$M$4,D68,$M$7 + D68),IF(DADOS!$C$11="AMERICANO",IF(A68&lt;$M$3,D68,D68+C68),0))))</f>
        <v>0</v>
      </c>
      <c r="F68" s="14">
        <f>IF(A68&gt;$M$3,0,DADOS!$C$18)</f>
        <v>0</v>
      </c>
      <c r="G68" s="14">
        <f>IF(A68&gt;$M$3,0,B68*DADOS!$C$19)</f>
        <v>0</v>
      </c>
      <c r="H68" s="14">
        <f t="shared" si="1"/>
        <v>0</v>
      </c>
      <c r="I68" s="14">
        <f t="shared" si="2"/>
        <v>0</v>
      </c>
      <c r="J68" s="14">
        <f t="shared" si="3"/>
        <v>0</v>
      </c>
    </row>
    <row r="69" spans="1:10" x14ac:dyDescent="0.25">
      <c r="A69" s="15">
        <v>63</v>
      </c>
      <c r="B69" s="14">
        <f>IF(A69&gt;$M$3,0,IF(A69=1,DADOS!$C$7,I68))</f>
        <v>0</v>
      </c>
      <c r="C69" s="14">
        <f>IF(A69&gt;$M$3,0,IF(DADOS!$C$11="PRICE",IF(A69&lt;=$M$4,0,MAX(0,E69-D69)),IF(DADOS!$C$11="SAC",IF(A69&lt;=$M$4,0,MIN($M$7,B69)),IF(DADOS!$C$11="AMERICANO",IF(A69=$M$3,MIN(DADOS!$C$7,B69),0),0))))</f>
        <v>0</v>
      </c>
      <c r="D69" s="14">
        <f t="shared" si="0"/>
        <v>0</v>
      </c>
      <c r="E69" s="14">
        <f>IF(A69&gt;$M$3,0,IF(DADOS!$C$11="PRICE",IF(A69&lt;=$M$4,D69,$M$6),IF(DADOS!$C$11="SAC",IF(A69&lt;=$M$4,D69,$M$7 + D69),IF(DADOS!$C$11="AMERICANO",IF(A69&lt;$M$3,D69,D69+C69),0))))</f>
        <v>0</v>
      </c>
      <c r="F69" s="14">
        <f>IF(A69&gt;$M$3,0,DADOS!$C$18)</f>
        <v>0</v>
      </c>
      <c r="G69" s="14">
        <f>IF(A69&gt;$M$3,0,B69*DADOS!$C$19)</f>
        <v>0</v>
      </c>
      <c r="H69" s="14">
        <f t="shared" si="1"/>
        <v>0</v>
      </c>
      <c r="I69" s="14">
        <f t="shared" si="2"/>
        <v>0</v>
      </c>
      <c r="J69" s="14">
        <f t="shared" si="3"/>
        <v>0</v>
      </c>
    </row>
    <row r="70" spans="1:10" x14ac:dyDescent="0.25">
      <c r="A70" s="15">
        <v>64</v>
      </c>
      <c r="B70" s="14">
        <f>IF(A70&gt;$M$3,0,IF(A70=1,DADOS!$C$7,I69))</f>
        <v>0</v>
      </c>
      <c r="C70" s="14">
        <f>IF(A70&gt;$M$3,0,IF(DADOS!$C$11="PRICE",IF(A70&lt;=$M$4,0,MAX(0,E70-D70)),IF(DADOS!$C$11="SAC",IF(A70&lt;=$M$4,0,MIN($M$7,B70)),IF(DADOS!$C$11="AMERICANO",IF(A70=$M$3,MIN(DADOS!$C$7,B70),0),0))))</f>
        <v>0</v>
      </c>
      <c r="D70" s="14">
        <f t="shared" si="0"/>
        <v>0</v>
      </c>
      <c r="E70" s="14">
        <f>IF(A70&gt;$M$3,0,IF(DADOS!$C$11="PRICE",IF(A70&lt;=$M$4,D70,$M$6),IF(DADOS!$C$11="SAC",IF(A70&lt;=$M$4,D70,$M$7 + D70),IF(DADOS!$C$11="AMERICANO",IF(A70&lt;$M$3,D70,D70+C70),0))))</f>
        <v>0</v>
      </c>
      <c r="F70" s="14">
        <f>IF(A70&gt;$M$3,0,DADOS!$C$18)</f>
        <v>0</v>
      </c>
      <c r="G70" s="14">
        <f>IF(A70&gt;$M$3,0,B70*DADOS!$C$19)</f>
        <v>0</v>
      </c>
      <c r="H70" s="14">
        <f t="shared" si="1"/>
        <v>0</v>
      </c>
      <c r="I70" s="14">
        <f t="shared" si="2"/>
        <v>0</v>
      </c>
      <c r="J70" s="14">
        <f t="shared" si="3"/>
        <v>0</v>
      </c>
    </row>
    <row r="71" spans="1:10" x14ac:dyDescent="0.25">
      <c r="A71" s="15">
        <v>65</v>
      </c>
      <c r="B71" s="14">
        <f>IF(A71&gt;$M$3,0,IF(A71=1,DADOS!$C$7,I70))</f>
        <v>0</v>
      </c>
      <c r="C71" s="14">
        <f>IF(A71&gt;$M$3,0,IF(DADOS!$C$11="PRICE",IF(A71&lt;=$M$4,0,MAX(0,E71-D71)),IF(DADOS!$C$11="SAC",IF(A71&lt;=$M$4,0,MIN($M$7,B71)),IF(DADOS!$C$11="AMERICANO",IF(A71=$M$3,MIN(DADOS!$C$7,B71),0),0))))</f>
        <v>0</v>
      </c>
      <c r="D71" s="14">
        <f t="shared" ref="D71:D134" si="4">IF(A71&gt;$M$3,0,B71*$M$2)</f>
        <v>0</v>
      </c>
      <c r="E71" s="14">
        <f>IF(A71&gt;$M$3,0,IF(DADOS!$C$11="PRICE",IF(A71&lt;=$M$4,D71,$M$6),IF(DADOS!$C$11="SAC",IF(A71&lt;=$M$4,D71,$M$7 + D71),IF(DADOS!$C$11="AMERICANO",IF(A71&lt;$M$3,D71,D71+C71),0))))</f>
        <v>0</v>
      </c>
      <c r="F71" s="14">
        <f>IF(A71&gt;$M$3,0,DADOS!$C$18)</f>
        <v>0</v>
      </c>
      <c r="G71" s="14">
        <f>IF(A71&gt;$M$3,0,B71*DADOS!$C$19)</f>
        <v>0</v>
      </c>
      <c r="H71" s="14">
        <f t="shared" ref="H71:H134" si="5">IF(A71&gt;$M$3,0,E71+F71+G71)</f>
        <v>0</v>
      </c>
      <c r="I71" s="14">
        <f t="shared" ref="I71:I134" si="6">IF(A71&gt;$M$3,0,MAX(0,B71-C71))</f>
        <v>0</v>
      </c>
      <c r="J71" s="14">
        <f t="shared" ref="J71:J134" si="7">IF(A71&gt;$M$3,0,-H71)</f>
        <v>0</v>
      </c>
    </row>
    <row r="72" spans="1:10" x14ac:dyDescent="0.25">
      <c r="A72" s="15">
        <v>66</v>
      </c>
      <c r="B72" s="14">
        <f>IF(A72&gt;$M$3,0,IF(A72=1,DADOS!$C$7,I71))</f>
        <v>0</v>
      </c>
      <c r="C72" s="14">
        <f>IF(A72&gt;$M$3,0,IF(DADOS!$C$11="PRICE",IF(A72&lt;=$M$4,0,MAX(0,E72-D72)),IF(DADOS!$C$11="SAC",IF(A72&lt;=$M$4,0,MIN($M$7,B72)),IF(DADOS!$C$11="AMERICANO",IF(A72=$M$3,MIN(DADOS!$C$7,B72),0),0))))</f>
        <v>0</v>
      </c>
      <c r="D72" s="14">
        <f t="shared" si="4"/>
        <v>0</v>
      </c>
      <c r="E72" s="14">
        <f>IF(A72&gt;$M$3,0,IF(DADOS!$C$11="PRICE",IF(A72&lt;=$M$4,D72,$M$6),IF(DADOS!$C$11="SAC",IF(A72&lt;=$M$4,D72,$M$7 + D72),IF(DADOS!$C$11="AMERICANO",IF(A72&lt;$M$3,D72,D72+C72),0))))</f>
        <v>0</v>
      </c>
      <c r="F72" s="14">
        <f>IF(A72&gt;$M$3,0,DADOS!$C$18)</f>
        <v>0</v>
      </c>
      <c r="G72" s="14">
        <f>IF(A72&gt;$M$3,0,B72*DADOS!$C$19)</f>
        <v>0</v>
      </c>
      <c r="H72" s="14">
        <f t="shared" si="5"/>
        <v>0</v>
      </c>
      <c r="I72" s="14">
        <f t="shared" si="6"/>
        <v>0</v>
      </c>
      <c r="J72" s="14">
        <f t="shared" si="7"/>
        <v>0</v>
      </c>
    </row>
    <row r="73" spans="1:10" x14ac:dyDescent="0.25">
      <c r="A73" s="15">
        <v>67</v>
      </c>
      <c r="B73" s="14">
        <f>IF(A73&gt;$M$3,0,IF(A73=1,DADOS!$C$7,I72))</f>
        <v>0</v>
      </c>
      <c r="C73" s="14">
        <f>IF(A73&gt;$M$3,0,IF(DADOS!$C$11="PRICE",IF(A73&lt;=$M$4,0,MAX(0,E73-D73)),IF(DADOS!$C$11="SAC",IF(A73&lt;=$M$4,0,MIN($M$7,B73)),IF(DADOS!$C$11="AMERICANO",IF(A73=$M$3,MIN(DADOS!$C$7,B73),0),0))))</f>
        <v>0</v>
      </c>
      <c r="D73" s="14">
        <f t="shared" si="4"/>
        <v>0</v>
      </c>
      <c r="E73" s="14">
        <f>IF(A73&gt;$M$3,0,IF(DADOS!$C$11="PRICE",IF(A73&lt;=$M$4,D73,$M$6),IF(DADOS!$C$11="SAC",IF(A73&lt;=$M$4,D73,$M$7 + D73),IF(DADOS!$C$11="AMERICANO",IF(A73&lt;$M$3,D73,D73+C73),0))))</f>
        <v>0</v>
      </c>
      <c r="F73" s="14">
        <f>IF(A73&gt;$M$3,0,DADOS!$C$18)</f>
        <v>0</v>
      </c>
      <c r="G73" s="14">
        <f>IF(A73&gt;$M$3,0,B73*DADOS!$C$19)</f>
        <v>0</v>
      </c>
      <c r="H73" s="14">
        <f t="shared" si="5"/>
        <v>0</v>
      </c>
      <c r="I73" s="14">
        <f t="shared" si="6"/>
        <v>0</v>
      </c>
      <c r="J73" s="14">
        <f t="shared" si="7"/>
        <v>0</v>
      </c>
    </row>
    <row r="74" spans="1:10" x14ac:dyDescent="0.25">
      <c r="A74" s="15">
        <v>68</v>
      </c>
      <c r="B74" s="14">
        <f>IF(A74&gt;$M$3,0,IF(A74=1,DADOS!$C$7,I73))</f>
        <v>0</v>
      </c>
      <c r="C74" s="14">
        <f>IF(A74&gt;$M$3,0,IF(DADOS!$C$11="PRICE",IF(A74&lt;=$M$4,0,MAX(0,E74-D74)),IF(DADOS!$C$11="SAC",IF(A74&lt;=$M$4,0,MIN($M$7,B74)),IF(DADOS!$C$11="AMERICANO",IF(A74=$M$3,MIN(DADOS!$C$7,B74),0),0))))</f>
        <v>0</v>
      </c>
      <c r="D74" s="14">
        <f t="shared" si="4"/>
        <v>0</v>
      </c>
      <c r="E74" s="14">
        <f>IF(A74&gt;$M$3,0,IF(DADOS!$C$11="PRICE",IF(A74&lt;=$M$4,D74,$M$6),IF(DADOS!$C$11="SAC",IF(A74&lt;=$M$4,D74,$M$7 + D74),IF(DADOS!$C$11="AMERICANO",IF(A74&lt;$M$3,D74,D74+C74),0))))</f>
        <v>0</v>
      </c>
      <c r="F74" s="14">
        <f>IF(A74&gt;$M$3,0,DADOS!$C$18)</f>
        <v>0</v>
      </c>
      <c r="G74" s="14">
        <f>IF(A74&gt;$M$3,0,B74*DADOS!$C$19)</f>
        <v>0</v>
      </c>
      <c r="H74" s="14">
        <f t="shared" si="5"/>
        <v>0</v>
      </c>
      <c r="I74" s="14">
        <f t="shared" si="6"/>
        <v>0</v>
      </c>
      <c r="J74" s="14">
        <f t="shared" si="7"/>
        <v>0</v>
      </c>
    </row>
    <row r="75" spans="1:10" x14ac:dyDescent="0.25">
      <c r="A75" s="15">
        <v>69</v>
      </c>
      <c r="B75" s="14">
        <f>IF(A75&gt;$M$3,0,IF(A75=1,DADOS!$C$7,I74))</f>
        <v>0</v>
      </c>
      <c r="C75" s="14">
        <f>IF(A75&gt;$M$3,0,IF(DADOS!$C$11="PRICE",IF(A75&lt;=$M$4,0,MAX(0,E75-D75)),IF(DADOS!$C$11="SAC",IF(A75&lt;=$M$4,0,MIN($M$7,B75)),IF(DADOS!$C$11="AMERICANO",IF(A75=$M$3,MIN(DADOS!$C$7,B75),0),0))))</f>
        <v>0</v>
      </c>
      <c r="D75" s="14">
        <f t="shared" si="4"/>
        <v>0</v>
      </c>
      <c r="E75" s="14">
        <f>IF(A75&gt;$M$3,0,IF(DADOS!$C$11="PRICE",IF(A75&lt;=$M$4,D75,$M$6),IF(DADOS!$C$11="SAC",IF(A75&lt;=$M$4,D75,$M$7 + D75),IF(DADOS!$C$11="AMERICANO",IF(A75&lt;$M$3,D75,D75+C75),0))))</f>
        <v>0</v>
      </c>
      <c r="F75" s="14">
        <f>IF(A75&gt;$M$3,0,DADOS!$C$18)</f>
        <v>0</v>
      </c>
      <c r="G75" s="14">
        <f>IF(A75&gt;$M$3,0,B75*DADOS!$C$19)</f>
        <v>0</v>
      </c>
      <c r="H75" s="14">
        <f t="shared" si="5"/>
        <v>0</v>
      </c>
      <c r="I75" s="14">
        <f t="shared" si="6"/>
        <v>0</v>
      </c>
      <c r="J75" s="14">
        <f t="shared" si="7"/>
        <v>0</v>
      </c>
    </row>
    <row r="76" spans="1:10" x14ac:dyDescent="0.25">
      <c r="A76" s="15">
        <v>70</v>
      </c>
      <c r="B76" s="14">
        <f>IF(A76&gt;$M$3,0,IF(A76=1,DADOS!$C$7,I75))</f>
        <v>0</v>
      </c>
      <c r="C76" s="14">
        <f>IF(A76&gt;$M$3,0,IF(DADOS!$C$11="PRICE",IF(A76&lt;=$M$4,0,MAX(0,E76-D76)),IF(DADOS!$C$11="SAC",IF(A76&lt;=$M$4,0,MIN($M$7,B76)),IF(DADOS!$C$11="AMERICANO",IF(A76=$M$3,MIN(DADOS!$C$7,B76),0),0))))</f>
        <v>0</v>
      </c>
      <c r="D76" s="14">
        <f t="shared" si="4"/>
        <v>0</v>
      </c>
      <c r="E76" s="14">
        <f>IF(A76&gt;$M$3,0,IF(DADOS!$C$11="PRICE",IF(A76&lt;=$M$4,D76,$M$6),IF(DADOS!$C$11="SAC",IF(A76&lt;=$M$4,D76,$M$7 + D76),IF(DADOS!$C$11="AMERICANO",IF(A76&lt;$M$3,D76,D76+C76),0))))</f>
        <v>0</v>
      </c>
      <c r="F76" s="14">
        <f>IF(A76&gt;$M$3,0,DADOS!$C$18)</f>
        <v>0</v>
      </c>
      <c r="G76" s="14">
        <f>IF(A76&gt;$M$3,0,B76*DADOS!$C$19)</f>
        <v>0</v>
      </c>
      <c r="H76" s="14">
        <f t="shared" si="5"/>
        <v>0</v>
      </c>
      <c r="I76" s="14">
        <f t="shared" si="6"/>
        <v>0</v>
      </c>
      <c r="J76" s="14">
        <f t="shared" si="7"/>
        <v>0</v>
      </c>
    </row>
    <row r="77" spans="1:10" x14ac:dyDescent="0.25">
      <c r="A77" s="15">
        <v>71</v>
      </c>
      <c r="B77" s="14">
        <f>IF(A77&gt;$M$3,0,IF(A77=1,DADOS!$C$7,I76))</f>
        <v>0</v>
      </c>
      <c r="C77" s="14">
        <f>IF(A77&gt;$M$3,0,IF(DADOS!$C$11="PRICE",IF(A77&lt;=$M$4,0,MAX(0,E77-D77)),IF(DADOS!$C$11="SAC",IF(A77&lt;=$M$4,0,MIN($M$7,B77)),IF(DADOS!$C$11="AMERICANO",IF(A77=$M$3,MIN(DADOS!$C$7,B77),0),0))))</f>
        <v>0</v>
      </c>
      <c r="D77" s="14">
        <f t="shared" si="4"/>
        <v>0</v>
      </c>
      <c r="E77" s="14">
        <f>IF(A77&gt;$M$3,0,IF(DADOS!$C$11="PRICE",IF(A77&lt;=$M$4,D77,$M$6),IF(DADOS!$C$11="SAC",IF(A77&lt;=$M$4,D77,$M$7 + D77),IF(DADOS!$C$11="AMERICANO",IF(A77&lt;$M$3,D77,D77+C77),0))))</f>
        <v>0</v>
      </c>
      <c r="F77" s="14">
        <f>IF(A77&gt;$M$3,0,DADOS!$C$18)</f>
        <v>0</v>
      </c>
      <c r="G77" s="14">
        <f>IF(A77&gt;$M$3,0,B77*DADOS!$C$19)</f>
        <v>0</v>
      </c>
      <c r="H77" s="14">
        <f t="shared" si="5"/>
        <v>0</v>
      </c>
      <c r="I77" s="14">
        <f t="shared" si="6"/>
        <v>0</v>
      </c>
      <c r="J77" s="14">
        <f t="shared" si="7"/>
        <v>0</v>
      </c>
    </row>
    <row r="78" spans="1:10" x14ac:dyDescent="0.25">
      <c r="A78" s="15">
        <v>72</v>
      </c>
      <c r="B78" s="14">
        <f>IF(A78&gt;$M$3,0,IF(A78=1,DADOS!$C$7,I77))</f>
        <v>0</v>
      </c>
      <c r="C78" s="14">
        <f>IF(A78&gt;$M$3,0,IF(DADOS!$C$11="PRICE",IF(A78&lt;=$M$4,0,MAX(0,E78-D78)),IF(DADOS!$C$11="SAC",IF(A78&lt;=$M$4,0,MIN($M$7,B78)),IF(DADOS!$C$11="AMERICANO",IF(A78=$M$3,MIN(DADOS!$C$7,B78),0),0))))</f>
        <v>0</v>
      </c>
      <c r="D78" s="14">
        <f t="shared" si="4"/>
        <v>0</v>
      </c>
      <c r="E78" s="14">
        <f>IF(A78&gt;$M$3,0,IF(DADOS!$C$11="PRICE",IF(A78&lt;=$M$4,D78,$M$6),IF(DADOS!$C$11="SAC",IF(A78&lt;=$M$4,D78,$M$7 + D78),IF(DADOS!$C$11="AMERICANO",IF(A78&lt;$M$3,D78,D78+C78),0))))</f>
        <v>0</v>
      </c>
      <c r="F78" s="14">
        <f>IF(A78&gt;$M$3,0,DADOS!$C$18)</f>
        <v>0</v>
      </c>
      <c r="G78" s="14">
        <f>IF(A78&gt;$M$3,0,B78*DADOS!$C$19)</f>
        <v>0</v>
      </c>
      <c r="H78" s="14">
        <f t="shared" si="5"/>
        <v>0</v>
      </c>
      <c r="I78" s="14">
        <f t="shared" si="6"/>
        <v>0</v>
      </c>
      <c r="J78" s="14">
        <f t="shared" si="7"/>
        <v>0</v>
      </c>
    </row>
    <row r="79" spans="1:10" x14ac:dyDescent="0.25">
      <c r="A79" s="15">
        <v>73</v>
      </c>
      <c r="B79" s="14">
        <f>IF(A79&gt;$M$3,0,IF(A79=1,DADOS!$C$7,I78))</f>
        <v>0</v>
      </c>
      <c r="C79" s="14">
        <f>IF(A79&gt;$M$3,0,IF(DADOS!$C$11="PRICE",IF(A79&lt;=$M$4,0,MAX(0,E79-D79)),IF(DADOS!$C$11="SAC",IF(A79&lt;=$M$4,0,MIN($M$7,B79)),IF(DADOS!$C$11="AMERICANO",IF(A79=$M$3,MIN(DADOS!$C$7,B79),0),0))))</f>
        <v>0</v>
      </c>
      <c r="D79" s="14">
        <f t="shared" si="4"/>
        <v>0</v>
      </c>
      <c r="E79" s="14">
        <f>IF(A79&gt;$M$3,0,IF(DADOS!$C$11="PRICE",IF(A79&lt;=$M$4,D79,$M$6),IF(DADOS!$C$11="SAC",IF(A79&lt;=$M$4,D79,$M$7 + D79),IF(DADOS!$C$11="AMERICANO",IF(A79&lt;$M$3,D79,D79+C79),0))))</f>
        <v>0</v>
      </c>
      <c r="F79" s="14">
        <f>IF(A79&gt;$M$3,0,DADOS!$C$18)</f>
        <v>0</v>
      </c>
      <c r="G79" s="14">
        <f>IF(A79&gt;$M$3,0,B79*DADOS!$C$19)</f>
        <v>0</v>
      </c>
      <c r="H79" s="14">
        <f t="shared" si="5"/>
        <v>0</v>
      </c>
      <c r="I79" s="14">
        <f t="shared" si="6"/>
        <v>0</v>
      </c>
      <c r="J79" s="14">
        <f t="shared" si="7"/>
        <v>0</v>
      </c>
    </row>
    <row r="80" spans="1:10" x14ac:dyDescent="0.25">
      <c r="A80" s="15">
        <v>74</v>
      </c>
      <c r="B80" s="14">
        <f>IF(A80&gt;$M$3,0,IF(A80=1,DADOS!$C$7,I79))</f>
        <v>0</v>
      </c>
      <c r="C80" s="14">
        <f>IF(A80&gt;$M$3,0,IF(DADOS!$C$11="PRICE",IF(A80&lt;=$M$4,0,MAX(0,E80-D80)),IF(DADOS!$C$11="SAC",IF(A80&lt;=$M$4,0,MIN($M$7,B80)),IF(DADOS!$C$11="AMERICANO",IF(A80=$M$3,MIN(DADOS!$C$7,B80),0),0))))</f>
        <v>0</v>
      </c>
      <c r="D80" s="14">
        <f t="shared" si="4"/>
        <v>0</v>
      </c>
      <c r="E80" s="14">
        <f>IF(A80&gt;$M$3,0,IF(DADOS!$C$11="PRICE",IF(A80&lt;=$M$4,D80,$M$6),IF(DADOS!$C$11="SAC",IF(A80&lt;=$M$4,D80,$M$7 + D80),IF(DADOS!$C$11="AMERICANO",IF(A80&lt;$M$3,D80,D80+C80),0))))</f>
        <v>0</v>
      </c>
      <c r="F80" s="14">
        <f>IF(A80&gt;$M$3,0,DADOS!$C$18)</f>
        <v>0</v>
      </c>
      <c r="G80" s="14">
        <f>IF(A80&gt;$M$3,0,B80*DADOS!$C$19)</f>
        <v>0</v>
      </c>
      <c r="H80" s="14">
        <f t="shared" si="5"/>
        <v>0</v>
      </c>
      <c r="I80" s="14">
        <f t="shared" si="6"/>
        <v>0</v>
      </c>
      <c r="J80" s="14">
        <f t="shared" si="7"/>
        <v>0</v>
      </c>
    </row>
    <row r="81" spans="1:10" x14ac:dyDescent="0.25">
      <c r="A81" s="15">
        <v>75</v>
      </c>
      <c r="B81" s="14">
        <f>IF(A81&gt;$M$3,0,IF(A81=1,DADOS!$C$7,I80))</f>
        <v>0</v>
      </c>
      <c r="C81" s="14">
        <f>IF(A81&gt;$M$3,0,IF(DADOS!$C$11="PRICE",IF(A81&lt;=$M$4,0,MAX(0,E81-D81)),IF(DADOS!$C$11="SAC",IF(A81&lt;=$M$4,0,MIN($M$7,B81)),IF(DADOS!$C$11="AMERICANO",IF(A81=$M$3,MIN(DADOS!$C$7,B81),0),0))))</f>
        <v>0</v>
      </c>
      <c r="D81" s="14">
        <f t="shared" si="4"/>
        <v>0</v>
      </c>
      <c r="E81" s="14">
        <f>IF(A81&gt;$M$3,0,IF(DADOS!$C$11="PRICE",IF(A81&lt;=$M$4,D81,$M$6),IF(DADOS!$C$11="SAC",IF(A81&lt;=$M$4,D81,$M$7 + D81),IF(DADOS!$C$11="AMERICANO",IF(A81&lt;$M$3,D81,D81+C81),0))))</f>
        <v>0</v>
      </c>
      <c r="F81" s="14">
        <f>IF(A81&gt;$M$3,0,DADOS!$C$18)</f>
        <v>0</v>
      </c>
      <c r="G81" s="14">
        <f>IF(A81&gt;$M$3,0,B81*DADOS!$C$19)</f>
        <v>0</v>
      </c>
      <c r="H81" s="14">
        <f t="shared" si="5"/>
        <v>0</v>
      </c>
      <c r="I81" s="14">
        <f t="shared" si="6"/>
        <v>0</v>
      </c>
      <c r="J81" s="14">
        <f t="shared" si="7"/>
        <v>0</v>
      </c>
    </row>
    <row r="82" spans="1:10" x14ac:dyDescent="0.25">
      <c r="A82" s="15">
        <v>76</v>
      </c>
      <c r="B82" s="14">
        <f>IF(A82&gt;$M$3,0,IF(A82=1,DADOS!$C$7,I81))</f>
        <v>0</v>
      </c>
      <c r="C82" s="14">
        <f>IF(A82&gt;$M$3,0,IF(DADOS!$C$11="PRICE",IF(A82&lt;=$M$4,0,MAX(0,E82-D82)),IF(DADOS!$C$11="SAC",IF(A82&lt;=$M$4,0,MIN($M$7,B82)),IF(DADOS!$C$11="AMERICANO",IF(A82=$M$3,MIN(DADOS!$C$7,B82),0),0))))</f>
        <v>0</v>
      </c>
      <c r="D82" s="14">
        <f t="shared" si="4"/>
        <v>0</v>
      </c>
      <c r="E82" s="14">
        <f>IF(A82&gt;$M$3,0,IF(DADOS!$C$11="PRICE",IF(A82&lt;=$M$4,D82,$M$6),IF(DADOS!$C$11="SAC",IF(A82&lt;=$M$4,D82,$M$7 + D82),IF(DADOS!$C$11="AMERICANO",IF(A82&lt;$M$3,D82,D82+C82),0))))</f>
        <v>0</v>
      </c>
      <c r="F82" s="14">
        <f>IF(A82&gt;$M$3,0,DADOS!$C$18)</f>
        <v>0</v>
      </c>
      <c r="G82" s="14">
        <f>IF(A82&gt;$M$3,0,B82*DADOS!$C$19)</f>
        <v>0</v>
      </c>
      <c r="H82" s="14">
        <f t="shared" si="5"/>
        <v>0</v>
      </c>
      <c r="I82" s="14">
        <f t="shared" si="6"/>
        <v>0</v>
      </c>
      <c r="J82" s="14">
        <f t="shared" si="7"/>
        <v>0</v>
      </c>
    </row>
    <row r="83" spans="1:10" x14ac:dyDescent="0.25">
      <c r="A83" s="15">
        <v>77</v>
      </c>
      <c r="B83" s="14">
        <f>IF(A83&gt;$M$3,0,IF(A83=1,DADOS!$C$7,I82))</f>
        <v>0</v>
      </c>
      <c r="C83" s="14">
        <f>IF(A83&gt;$M$3,0,IF(DADOS!$C$11="PRICE",IF(A83&lt;=$M$4,0,MAX(0,E83-D83)),IF(DADOS!$C$11="SAC",IF(A83&lt;=$M$4,0,MIN($M$7,B83)),IF(DADOS!$C$11="AMERICANO",IF(A83=$M$3,MIN(DADOS!$C$7,B83),0),0))))</f>
        <v>0</v>
      </c>
      <c r="D83" s="14">
        <f t="shared" si="4"/>
        <v>0</v>
      </c>
      <c r="E83" s="14">
        <f>IF(A83&gt;$M$3,0,IF(DADOS!$C$11="PRICE",IF(A83&lt;=$M$4,D83,$M$6),IF(DADOS!$C$11="SAC",IF(A83&lt;=$M$4,D83,$M$7 + D83),IF(DADOS!$C$11="AMERICANO",IF(A83&lt;$M$3,D83,D83+C83),0))))</f>
        <v>0</v>
      </c>
      <c r="F83" s="14">
        <f>IF(A83&gt;$M$3,0,DADOS!$C$18)</f>
        <v>0</v>
      </c>
      <c r="G83" s="14">
        <f>IF(A83&gt;$M$3,0,B83*DADOS!$C$19)</f>
        <v>0</v>
      </c>
      <c r="H83" s="14">
        <f t="shared" si="5"/>
        <v>0</v>
      </c>
      <c r="I83" s="14">
        <f t="shared" si="6"/>
        <v>0</v>
      </c>
      <c r="J83" s="14">
        <f t="shared" si="7"/>
        <v>0</v>
      </c>
    </row>
    <row r="84" spans="1:10" x14ac:dyDescent="0.25">
      <c r="A84" s="15">
        <v>78</v>
      </c>
      <c r="B84" s="14">
        <f>IF(A84&gt;$M$3,0,IF(A84=1,DADOS!$C$7,I83))</f>
        <v>0</v>
      </c>
      <c r="C84" s="14">
        <f>IF(A84&gt;$M$3,0,IF(DADOS!$C$11="PRICE",IF(A84&lt;=$M$4,0,MAX(0,E84-D84)),IF(DADOS!$C$11="SAC",IF(A84&lt;=$M$4,0,MIN($M$7,B84)),IF(DADOS!$C$11="AMERICANO",IF(A84=$M$3,MIN(DADOS!$C$7,B84),0),0))))</f>
        <v>0</v>
      </c>
      <c r="D84" s="14">
        <f t="shared" si="4"/>
        <v>0</v>
      </c>
      <c r="E84" s="14">
        <f>IF(A84&gt;$M$3,0,IF(DADOS!$C$11="PRICE",IF(A84&lt;=$M$4,D84,$M$6),IF(DADOS!$C$11="SAC",IF(A84&lt;=$M$4,D84,$M$7 + D84),IF(DADOS!$C$11="AMERICANO",IF(A84&lt;$M$3,D84,D84+C84),0))))</f>
        <v>0</v>
      </c>
      <c r="F84" s="14">
        <f>IF(A84&gt;$M$3,0,DADOS!$C$18)</f>
        <v>0</v>
      </c>
      <c r="G84" s="14">
        <f>IF(A84&gt;$M$3,0,B84*DADOS!$C$19)</f>
        <v>0</v>
      </c>
      <c r="H84" s="14">
        <f t="shared" si="5"/>
        <v>0</v>
      </c>
      <c r="I84" s="14">
        <f t="shared" si="6"/>
        <v>0</v>
      </c>
      <c r="J84" s="14">
        <f t="shared" si="7"/>
        <v>0</v>
      </c>
    </row>
    <row r="85" spans="1:10" x14ac:dyDescent="0.25">
      <c r="A85" s="15">
        <v>79</v>
      </c>
      <c r="B85" s="14">
        <f>IF(A85&gt;$M$3,0,IF(A85=1,DADOS!$C$7,I84))</f>
        <v>0</v>
      </c>
      <c r="C85" s="14">
        <f>IF(A85&gt;$M$3,0,IF(DADOS!$C$11="PRICE",IF(A85&lt;=$M$4,0,MAX(0,E85-D85)),IF(DADOS!$C$11="SAC",IF(A85&lt;=$M$4,0,MIN($M$7,B85)),IF(DADOS!$C$11="AMERICANO",IF(A85=$M$3,MIN(DADOS!$C$7,B85),0),0))))</f>
        <v>0</v>
      </c>
      <c r="D85" s="14">
        <f t="shared" si="4"/>
        <v>0</v>
      </c>
      <c r="E85" s="14">
        <f>IF(A85&gt;$M$3,0,IF(DADOS!$C$11="PRICE",IF(A85&lt;=$M$4,D85,$M$6),IF(DADOS!$C$11="SAC",IF(A85&lt;=$M$4,D85,$M$7 + D85),IF(DADOS!$C$11="AMERICANO",IF(A85&lt;$M$3,D85,D85+C85),0))))</f>
        <v>0</v>
      </c>
      <c r="F85" s="14">
        <f>IF(A85&gt;$M$3,0,DADOS!$C$18)</f>
        <v>0</v>
      </c>
      <c r="G85" s="14">
        <f>IF(A85&gt;$M$3,0,B85*DADOS!$C$19)</f>
        <v>0</v>
      </c>
      <c r="H85" s="14">
        <f t="shared" si="5"/>
        <v>0</v>
      </c>
      <c r="I85" s="14">
        <f t="shared" si="6"/>
        <v>0</v>
      </c>
      <c r="J85" s="14">
        <f t="shared" si="7"/>
        <v>0</v>
      </c>
    </row>
    <row r="86" spans="1:10" x14ac:dyDescent="0.25">
      <c r="A86" s="15">
        <v>80</v>
      </c>
      <c r="B86" s="14">
        <f>IF(A86&gt;$M$3,0,IF(A86=1,DADOS!$C$7,I85))</f>
        <v>0</v>
      </c>
      <c r="C86" s="14">
        <f>IF(A86&gt;$M$3,0,IF(DADOS!$C$11="PRICE",IF(A86&lt;=$M$4,0,MAX(0,E86-D86)),IF(DADOS!$C$11="SAC",IF(A86&lt;=$M$4,0,MIN($M$7,B86)),IF(DADOS!$C$11="AMERICANO",IF(A86=$M$3,MIN(DADOS!$C$7,B86),0),0))))</f>
        <v>0</v>
      </c>
      <c r="D86" s="14">
        <f t="shared" si="4"/>
        <v>0</v>
      </c>
      <c r="E86" s="14">
        <f>IF(A86&gt;$M$3,0,IF(DADOS!$C$11="PRICE",IF(A86&lt;=$M$4,D86,$M$6),IF(DADOS!$C$11="SAC",IF(A86&lt;=$M$4,D86,$M$7 + D86),IF(DADOS!$C$11="AMERICANO",IF(A86&lt;$M$3,D86,D86+C86),0))))</f>
        <v>0</v>
      </c>
      <c r="F86" s="14">
        <f>IF(A86&gt;$M$3,0,DADOS!$C$18)</f>
        <v>0</v>
      </c>
      <c r="G86" s="14">
        <f>IF(A86&gt;$M$3,0,B86*DADOS!$C$19)</f>
        <v>0</v>
      </c>
      <c r="H86" s="14">
        <f t="shared" si="5"/>
        <v>0</v>
      </c>
      <c r="I86" s="14">
        <f t="shared" si="6"/>
        <v>0</v>
      </c>
      <c r="J86" s="14">
        <f t="shared" si="7"/>
        <v>0</v>
      </c>
    </row>
    <row r="87" spans="1:10" x14ac:dyDescent="0.25">
      <c r="A87" s="15">
        <v>81</v>
      </c>
      <c r="B87" s="14">
        <f>IF(A87&gt;$M$3,0,IF(A87=1,DADOS!$C$7,I86))</f>
        <v>0</v>
      </c>
      <c r="C87" s="14">
        <f>IF(A87&gt;$M$3,0,IF(DADOS!$C$11="PRICE",IF(A87&lt;=$M$4,0,MAX(0,E87-D87)),IF(DADOS!$C$11="SAC",IF(A87&lt;=$M$4,0,MIN($M$7,B87)),IF(DADOS!$C$11="AMERICANO",IF(A87=$M$3,MIN(DADOS!$C$7,B87),0),0))))</f>
        <v>0</v>
      </c>
      <c r="D87" s="14">
        <f t="shared" si="4"/>
        <v>0</v>
      </c>
      <c r="E87" s="14">
        <f>IF(A87&gt;$M$3,0,IF(DADOS!$C$11="PRICE",IF(A87&lt;=$M$4,D87,$M$6),IF(DADOS!$C$11="SAC",IF(A87&lt;=$M$4,D87,$M$7 + D87),IF(DADOS!$C$11="AMERICANO",IF(A87&lt;$M$3,D87,D87+C87),0))))</f>
        <v>0</v>
      </c>
      <c r="F87" s="14">
        <f>IF(A87&gt;$M$3,0,DADOS!$C$18)</f>
        <v>0</v>
      </c>
      <c r="G87" s="14">
        <f>IF(A87&gt;$M$3,0,B87*DADOS!$C$19)</f>
        <v>0</v>
      </c>
      <c r="H87" s="14">
        <f t="shared" si="5"/>
        <v>0</v>
      </c>
      <c r="I87" s="14">
        <f t="shared" si="6"/>
        <v>0</v>
      </c>
      <c r="J87" s="14">
        <f t="shared" si="7"/>
        <v>0</v>
      </c>
    </row>
    <row r="88" spans="1:10" x14ac:dyDescent="0.25">
      <c r="A88" s="15">
        <v>82</v>
      </c>
      <c r="B88" s="14">
        <f>IF(A88&gt;$M$3,0,IF(A88=1,DADOS!$C$7,I87))</f>
        <v>0</v>
      </c>
      <c r="C88" s="14">
        <f>IF(A88&gt;$M$3,0,IF(DADOS!$C$11="PRICE",IF(A88&lt;=$M$4,0,MAX(0,E88-D88)),IF(DADOS!$C$11="SAC",IF(A88&lt;=$M$4,0,MIN($M$7,B88)),IF(DADOS!$C$11="AMERICANO",IF(A88=$M$3,MIN(DADOS!$C$7,B88),0),0))))</f>
        <v>0</v>
      </c>
      <c r="D88" s="14">
        <f t="shared" si="4"/>
        <v>0</v>
      </c>
      <c r="E88" s="14">
        <f>IF(A88&gt;$M$3,0,IF(DADOS!$C$11="PRICE",IF(A88&lt;=$M$4,D88,$M$6),IF(DADOS!$C$11="SAC",IF(A88&lt;=$M$4,D88,$M$7 + D88),IF(DADOS!$C$11="AMERICANO",IF(A88&lt;$M$3,D88,D88+C88),0))))</f>
        <v>0</v>
      </c>
      <c r="F88" s="14">
        <f>IF(A88&gt;$M$3,0,DADOS!$C$18)</f>
        <v>0</v>
      </c>
      <c r="G88" s="14">
        <f>IF(A88&gt;$M$3,0,B88*DADOS!$C$19)</f>
        <v>0</v>
      </c>
      <c r="H88" s="14">
        <f t="shared" si="5"/>
        <v>0</v>
      </c>
      <c r="I88" s="14">
        <f t="shared" si="6"/>
        <v>0</v>
      </c>
      <c r="J88" s="14">
        <f t="shared" si="7"/>
        <v>0</v>
      </c>
    </row>
    <row r="89" spans="1:10" x14ac:dyDescent="0.25">
      <c r="A89" s="15">
        <v>83</v>
      </c>
      <c r="B89" s="14">
        <f>IF(A89&gt;$M$3,0,IF(A89=1,DADOS!$C$7,I88))</f>
        <v>0</v>
      </c>
      <c r="C89" s="14">
        <f>IF(A89&gt;$M$3,0,IF(DADOS!$C$11="PRICE",IF(A89&lt;=$M$4,0,MAX(0,E89-D89)),IF(DADOS!$C$11="SAC",IF(A89&lt;=$M$4,0,MIN($M$7,B89)),IF(DADOS!$C$11="AMERICANO",IF(A89=$M$3,MIN(DADOS!$C$7,B89),0),0))))</f>
        <v>0</v>
      </c>
      <c r="D89" s="14">
        <f t="shared" si="4"/>
        <v>0</v>
      </c>
      <c r="E89" s="14">
        <f>IF(A89&gt;$M$3,0,IF(DADOS!$C$11="PRICE",IF(A89&lt;=$M$4,D89,$M$6),IF(DADOS!$C$11="SAC",IF(A89&lt;=$M$4,D89,$M$7 + D89),IF(DADOS!$C$11="AMERICANO",IF(A89&lt;$M$3,D89,D89+C89),0))))</f>
        <v>0</v>
      </c>
      <c r="F89" s="14">
        <f>IF(A89&gt;$M$3,0,DADOS!$C$18)</f>
        <v>0</v>
      </c>
      <c r="G89" s="14">
        <f>IF(A89&gt;$M$3,0,B89*DADOS!$C$19)</f>
        <v>0</v>
      </c>
      <c r="H89" s="14">
        <f t="shared" si="5"/>
        <v>0</v>
      </c>
      <c r="I89" s="14">
        <f t="shared" si="6"/>
        <v>0</v>
      </c>
      <c r="J89" s="14">
        <f t="shared" si="7"/>
        <v>0</v>
      </c>
    </row>
    <row r="90" spans="1:10" x14ac:dyDescent="0.25">
      <c r="A90" s="15">
        <v>84</v>
      </c>
      <c r="B90" s="14">
        <f>IF(A90&gt;$M$3,0,IF(A90=1,DADOS!$C$7,I89))</f>
        <v>0</v>
      </c>
      <c r="C90" s="14">
        <f>IF(A90&gt;$M$3,0,IF(DADOS!$C$11="PRICE",IF(A90&lt;=$M$4,0,MAX(0,E90-D90)),IF(DADOS!$C$11="SAC",IF(A90&lt;=$M$4,0,MIN($M$7,B90)),IF(DADOS!$C$11="AMERICANO",IF(A90=$M$3,MIN(DADOS!$C$7,B90),0),0))))</f>
        <v>0</v>
      </c>
      <c r="D90" s="14">
        <f t="shared" si="4"/>
        <v>0</v>
      </c>
      <c r="E90" s="14">
        <f>IF(A90&gt;$M$3,0,IF(DADOS!$C$11="PRICE",IF(A90&lt;=$M$4,D90,$M$6),IF(DADOS!$C$11="SAC",IF(A90&lt;=$M$4,D90,$M$7 + D90),IF(DADOS!$C$11="AMERICANO",IF(A90&lt;$M$3,D90,D90+C90),0))))</f>
        <v>0</v>
      </c>
      <c r="F90" s="14">
        <f>IF(A90&gt;$M$3,0,DADOS!$C$18)</f>
        <v>0</v>
      </c>
      <c r="G90" s="14">
        <f>IF(A90&gt;$M$3,0,B90*DADOS!$C$19)</f>
        <v>0</v>
      </c>
      <c r="H90" s="14">
        <f t="shared" si="5"/>
        <v>0</v>
      </c>
      <c r="I90" s="14">
        <f t="shared" si="6"/>
        <v>0</v>
      </c>
      <c r="J90" s="14">
        <f t="shared" si="7"/>
        <v>0</v>
      </c>
    </row>
    <row r="91" spans="1:10" x14ac:dyDescent="0.25">
      <c r="A91" s="15">
        <v>85</v>
      </c>
      <c r="B91" s="14">
        <f>IF(A91&gt;$M$3,0,IF(A91=1,DADOS!$C$7,I90))</f>
        <v>0</v>
      </c>
      <c r="C91" s="14">
        <f>IF(A91&gt;$M$3,0,IF(DADOS!$C$11="PRICE",IF(A91&lt;=$M$4,0,MAX(0,E91-D91)),IF(DADOS!$C$11="SAC",IF(A91&lt;=$M$4,0,MIN($M$7,B91)),IF(DADOS!$C$11="AMERICANO",IF(A91=$M$3,MIN(DADOS!$C$7,B91),0),0))))</f>
        <v>0</v>
      </c>
      <c r="D91" s="14">
        <f t="shared" si="4"/>
        <v>0</v>
      </c>
      <c r="E91" s="14">
        <f>IF(A91&gt;$M$3,0,IF(DADOS!$C$11="PRICE",IF(A91&lt;=$M$4,D91,$M$6),IF(DADOS!$C$11="SAC",IF(A91&lt;=$M$4,D91,$M$7 + D91),IF(DADOS!$C$11="AMERICANO",IF(A91&lt;$M$3,D91,D91+C91),0))))</f>
        <v>0</v>
      </c>
      <c r="F91" s="14">
        <f>IF(A91&gt;$M$3,0,DADOS!$C$18)</f>
        <v>0</v>
      </c>
      <c r="G91" s="14">
        <f>IF(A91&gt;$M$3,0,B91*DADOS!$C$19)</f>
        <v>0</v>
      </c>
      <c r="H91" s="14">
        <f t="shared" si="5"/>
        <v>0</v>
      </c>
      <c r="I91" s="14">
        <f t="shared" si="6"/>
        <v>0</v>
      </c>
      <c r="J91" s="14">
        <f t="shared" si="7"/>
        <v>0</v>
      </c>
    </row>
    <row r="92" spans="1:10" x14ac:dyDescent="0.25">
      <c r="A92" s="15">
        <v>86</v>
      </c>
      <c r="B92" s="14">
        <f>IF(A92&gt;$M$3,0,IF(A92=1,DADOS!$C$7,I91))</f>
        <v>0</v>
      </c>
      <c r="C92" s="14">
        <f>IF(A92&gt;$M$3,0,IF(DADOS!$C$11="PRICE",IF(A92&lt;=$M$4,0,MAX(0,E92-D92)),IF(DADOS!$C$11="SAC",IF(A92&lt;=$M$4,0,MIN($M$7,B92)),IF(DADOS!$C$11="AMERICANO",IF(A92=$M$3,MIN(DADOS!$C$7,B92),0),0))))</f>
        <v>0</v>
      </c>
      <c r="D92" s="14">
        <f t="shared" si="4"/>
        <v>0</v>
      </c>
      <c r="E92" s="14">
        <f>IF(A92&gt;$M$3,0,IF(DADOS!$C$11="PRICE",IF(A92&lt;=$M$4,D92,$M$6),IF(DADOS!$C$11="SAC",IF(A92&lt;=$M$4,D92,$M$7 + D92),IF(DADOS!$C$11="AMERICANO",IF(A92&lt;$M$3,D92,D92+C92),0))))</f>
        <v>0</v>
      </c>
      <c r="F92" s="14">
        <f>IF(A92&gt;$M$3,0,DADOS!$C$18)</f>
        <v>0</v>
      </c>
      <c r="G92" s="14">
        <f>IF(A92&gt;$M$3,0,B92*DADOS!$C$19)</f>
        <v>0</v>
      </c>
      <c r="H92" s="14">
        <f t="shared" si="5"/>
        <v>0</v>
      </c>
      <c r="I92" s="14">
        <f t="shared" si="6"/>
        <v>0</v>
      </c>
      <c r="J92" s="14">
        <f t="shared" si="7"/>
        <v>0</v>
      </c>
    </row>
    <row r="93" spans="1:10" x14ac:dyDescent="0.25">
      <c r="A93" s="15">
        <v>87</v>
      </c>
      <c r="B93" s="14">
        <f>IF(A93&gt;$M$3,0,IF(A93=1,DADOS!$C$7,I92))</f>
        <v>0</v>
      </c>
      <c r="C93" s="14">
        <f>IF(A93&gt;$M$3,0,IF(DADOS!$C$11="PRICE",IF(A93&lt;=$M$4,0,MAX(0,E93-D93)),IF(DADOS!$C$11="SAC",IF(A93&lt;=$M$4,0,MIN($M$7,B93)),IF(DADOS!$C$11="AMERICANO",IF(A93=$M$3,MIN(DADOS!$C$7,B93),0),0))))</f>
        <v>0</v>
      </c>
      <c r="D93" s="14">
        <f t="shared" si="4"/>
        <v>0</v>
      </c>
      <c r="E93" s="14">
        <f>IF(A93&gt;$M$3,0,IF(DADOS!$C$11="PRICE",IF(A93&lt;=$M$4,D93,$M$6),IF(DADOS!$C$11="SAC",IF(A93&lt;=$M$4,D93,$M$7 + D93),IF(DADOS!$C$11="AMERICANO",IF(A93&lt;$M$3,D93,D93+C93),0))))</f>
        <v>0</v>
      </c>
      <c r="F93" s="14">
        <f>IF(A93&gt;$M$3,0,DADOS!$C$18)</f>
        <v>0</v>
      </c>
      <c r="G93" s="14">
        <f>IF(A93&gt;$M$3,0,B93*DADOS!$C$19)</f>
        <v>0</v>
      </c>
      <c r="H93" s="14">
        <f t="shared" si="5"/>
        <v>0</v>
      </c>
      <c r="I93" s="14">
        <f t="shared" si="6"/>
        <v>0</v>
      </c>
      <c r="J93" s="14">
        <f t="shared" si="7"/>
        <v>0</v>
      </c>
    </row>
    <row r="94" spans="1:10" x14ac:dyDescent="0.25">
      <c r="A94" s="15">
        <v>88</v>
      </c>
      <c r="B94" s="14">
        <f>IF(A94&gt;$M$3,0,IF(A94=1,DADOS!$C$7,I93))</f>
        <v>0</v>
      </c>
      <c r="C94" s="14">
        <f>IF(A94&gt;$M$3,0,IF(DADOS!$C$11="PRICE",IF(A94&lt;=$M$4,0,MAX(0,E94-D94)),IF(DADOS!$C$11="SAC",IF(A94&lt;=$M$4,0,MIN($M$7,B94)),IF(DADOS!$C$11="AMERICANO",IF(A94=$M$3,MIN(DADOS!$C$7,B94),0),0))))</f>
        <v>0</v>
      </c>
      <c r="D94" s="14">
        <f t="shared" si="4"/>
        <v>0</v>
      </c>
      <c r="E94" s="14">
        <f>IF(A94&gt;$M$3,0,IF(DADOS!$C$11="PRICE",IF(A94&lt;=$M$4,D94,$M$6),IF(DADOS!$C$11="SAC",IF(A94&lt;=$M$4,D94,$M$7 + D94),IF(DADOS!$C$11="AMERICANO",IF(A94&lt;$M$3,D94,D94+C94),0))))</f>
        <v>0</v>
      </c>
      <c r="F94" s="14">
        <f>IF(A94&gt;$M$3,0,DADOS!$C$18)</f>
        <v>0</v>
      </c>
      <c r="G94" s="14">
        <f>IF(A94&gt;$M$3,0,B94*DADOS!$C$19)</f>
        <v>0</v>
      </c>
      <c r="H94" s="14">
        <f t="shared" si="5"/>
        <v>0</v>
      </c>
      <c r="I94" s="14">
        <f t="shared" si="6"/>
        <v>0</v>
      </c>
      <c r="J94" s="14">
        <f t="shared" si="7"/>
        <v>0</v>
      </c>
    </row>
    <row r="95" spans="1:10" x14ac:dyDescent="0.25">
      <c r="A95" s="15">
        <v>89</v>
      </c>
      <c r="B95" s="14">
        <f>IF(A95&gt;$M$3,0,IF(A95=1,DADOS!$C$7,I94))</f>
        <v>0</v>
      </c>
      <c r="C95" s="14">
        <f>IF(A95&gt;$M$3,0,IF(DADOS!$C$11="PRICE",IF(A95&lt;=$M$4,0,MAX(0,E95-D95)),IF(DADOS!$C$11="SAC",IF(A95&lt;=$M$4,0,MIN($M$7,B95)),IF(DADOS!$C$11="AMERICANO",IF(A95=$M$3,MIN(DADOS!$C$7,B95),0),0))))</f>
        <v>0</v>
      </c>
      <c r="D95" s="14">
        <f t="shared" si="4"/>
        <v>0</v>
      </c>
      <c r="E95" s="14">
        <f>IF(A95&gt;$M$3,0,IF(DADOS!$C$11="PRICE",IF(A95&lt;=$M$4,D95,$M$6),IF(DADOS!$C$11="SAC",IF(A95&lt;=$M$4,D95,$M$7 + D95),IF(DADOS!$C$11="AMERICANO",IF(A95&lt;$M$3,D95,D95+C95),0))))</f>
        <v>0</v>
      </c>
      <c r="F95" s="14">
        <f>IF(A95&gt;$M$3,0,DADOS!$C$18)</f>
        <v>0</v>
      </c>
      <c r="G95" s="14">
        <f>IF(A95&gt;$M$3,0,B95*DADOS!$C$19)</f>
        <v>0</v>
      </c>
      <c r="H95" s="14">
        <f t="shared" si="5"/>
        <v>0</v>
      </c>
      <c r="I95" s="14">
        <f t="shared" si="6"/>
        <v>0</v>
      </c>
      <c r="J95" s="14">
        <f t="shared" si="7"/>
        <v>0</v>
      </c>
    </row>
    <row r="96" spans="1:10" x14ac:dyDescent="0.25">
      <c r="A96" s="15">
        <v>90</v>
      </c>
      <c r="B96" s="14">
        <f>IF(A96&gt;$M$3,0,IF(A96=1,DADOS!$C$7,I95))</f>
        <v>0</v>
      </c>
      <c r="C96" s="14">
        <f>IF(A96&gt;$M$3,0,IF(DADOS!$C$11="PRICE",IF(A96&lt;=$M$4,0,MAX(0,E96-D96)),IF(DADOS!$C$11="SAC",IF(A96&lt;=$M$4,0,MIN($M$7,B96)),IF(DADOS!$C$11="AMERICANO",IF(A96=$M$3,MIN(DADOS!$C$7,B96),0),0))))</f>
        <v>0</v>
      </c>
      <c r="D96" s="14">
        <f t="shared" si="4"/>
        <v>0</v>
      </c>
      <c r="E96" s="14">
        <f>IF(A96&gt;$M$3,0,IF(DADOS!$C$11="PRICE",IF(A96&lt;=$M$4,D96,$M$6),IF(DADOS!$C$11="SAC",IF(A96&lt;=$M$4,D96,$M$7 + D96),IF(DADOS!$C$11="AMERICANO",IF(A96&lt;$M$3,D96,D96+C96),0))))</f>
        <v>0</v>
      </c>
      <c r="F96" s="14">
        <f>IF(A96&gt;$M$3,0,DADOS!$C$18)</f>
        <v>0</v>
      </c>
      <c r="G96" s="14">
        <f>IF(A96&gt;$M$3,0,B96*DADOS!$C$19)</f>
        <v>0</v>
      </c>
      <c r="H96" s="14">
        <f t="shared" si="5"/>
        <v>0</v>
      </c>
      <c r="I96" s="14">
        <f t="shared" si="6"/>
        <v>0</v>
      </c>
      <c r="J96" s="14">
        <f t="shared" si="7"/>
        <v>0</v>
      </c>
    </row>
    <row r="97" spans="1:10" x14ac:dyDescent="0.25">
      <c r="A97" s="15">
        <v>91</v>
      </c>
      <c r="B97" s="14">
        <f>IF(A97&gt;$M$3,0,IF(A97=1,DADOS!$C$7,I96))</f>
        <v>0</v>
      </c>
      <c r="C97" s="14">
        <f>IF(A97&gt;$M$3,0,IF(DADOS!$C$11="PRICE",IF(A97&lt;=$M$4,0,MAX(0,E97-D97)),IF(DADOS!$C$11="SAC",IF(A97&lt;=$M$4,0,MIN($M$7,B97)),IF(DADOS!$C$11="AMERICANO",IF(A97=$M$3,MIN(DADOS!$C$7,B97),0),0))))</f>
        <v>0</v>
      </c>
      <c r="D97" s="14">
        <f t="shared" si="4"/>
        <v>0</v>
      </c>
      <c r="E97" s="14">
        <f>IF(A97&gt;$M$3,0,IF(DADOS!$C$11="PRICE",IF(A97&lt;=$M$4,D97,$M$6),IF(DADOS!$C$11="SAC",IF(A97&lt;=$M$4,D97,$M$7 + D97),IF(DADOS!$C$11="AMERICANO",IF(A97&lt;$M$3,D97,D97+C97),0))))</f>
        <v>0</v>
      </c>
      <c r="F97" s="14">
        <f>IF(A97&gt;$M$3,0,DADOS!$C$18)</f>
        <v>0</v>
      </c>
      <c r="G97" s="14">
        <f>IF(A97&gt;$M$3,0,B97*DADOS!$C$19)</f>
        <v>0</v>
      </c>
      <c r="H97" s="14">
        <f t="shared" si="5"/>
        <v>0</v>
      </c>
      <c r="I97" s="14">
        <f t="shared" si="6"/>
        <v>0</v>
      </c>
      <c r="J97" s="14">
        <f t="shared" si="7"/>
        <v>0</v>
      </c>
    </row>
    <row r="98" spans="1:10" x14ac:dyDescent="0.25">
      <c r="A98" s="15">
        <v>92</v>
      </c>
      <c r="B98" s="14">
        <f>IF(A98&gt;$M$3,0,IF(A98=1,DADOS!$C$7,I97))</f>
        <v>0</v>
      </c>
      <c r="C98" s="14">
        <f>IF(A98&gt;$M$3,0,IF(DADOS!$C$11="PRICE",IF(A98&lt;=$M$4,0,MAX(0,E98-D98)),IF(DADOS!$C$11="SAC",IF(A98&lt;=$M$4,0,MIN($M$7,B98)),IF(DADOS!$C$11="AMERICANO",IF(A98=$M$3,MIN(DADOS!$C$7,B98),0),0))))</f>
        <v>0</v>
      </c>
      <c r="D98" s="14">
        <f t="shared" si="4"/>
        <v>0</v>
      </c>
      <c r="E98" s="14">
        <f>IF(A98&gt;$M$3,0,IF(DADOS!$C$11="PRICE",IF(A98&lt;=$M$4,D98,$M$6),IF(DADOS!$C$11="SAC",IF(A98&lt;=$M$4,D98,$M$7 + D98),IF(DADOS!$C$11="AMERICANO",IF(A98&lt;$M$3,D98,D98+C98),0))))</f>
        <v>0</v>
      </c>
      <c r="F98" s="14">
        <f>IF(A98&gt;$M$3,0,DADOS!$C$18)</f>
        <v>0</v>
      </c>
      <c r="G98" s="14">
        <f>IF(A98&gt;$M$3,0,B98*DADOS!$C$19)</f>
        <v>0</v>
      </c>
      <c r="H98" s="14">
        <f t="shared" si="5"/>
        <v>0</v>
      </c>
      <c r="I98" s="14">
        <f t="shared" si="6"/>
        <v>0</v>
      </c>
      <c r="J98" s="14">
        <f t="shared" si="7"/>
        <v>0</v>
      </c>
    </row>
    <row r="99" spans="1:10" x14ac:dyDescent="0.25">
      <c r="A99" s="15">
        <v>93</v>
      </c>
      <c r="B99" s="14">
        <f>IF(A99&gt;$M$3,0,IF(A99=1,DADOS!$C$7,I98))</f>
        <v>0</v>
      </c>
      <c r="C99" s="14">
        <f>IF(A99&gt;$M$3,0,IF(DADOS!$C$11="PRICE",IF(A99&lt;=$M$4,0,MAX(0,E99-D99)),IF(DADOS!$C$11="SAC",IF(A99&lt;=$M$4,0,MIN($M$7,B99)),IF(DADOS!$C$11="AMERICANO",IF(A99=$M$3,MIN(DADOS!$C$7,B99),0),0))))</f>
        <v>0</v>
      </c>
      <c r="D99" s="14">
        <f t="shared" si="4"/>
        <v>0</v>
      </c>
      <c r="E99" s="14">
        <f>IF(A99&gt;$M$3,0,IF(DADOS!$C$11="PRICE",IF(A99&lt;=$M$4,D99,$M$6),IF(DADOS!$C$11="SAC",IF(A99&lt;=$M$4,D99,$M$7 + D99),IF(DADOS!$C$11="AMERICANO",IF(A99&lt;$M$3,D99,D99+C99),0))))</f>
        <v>0</v>
      </c>
      <c r="F99" s="14">
        <f>IF(A99&gt;$M$3,0,DADOS!$C$18)</f>
        <v>0</v>
      </c>
      <c r="G99" s="14">
        <f>IF(A99&gt;$M$3,0,B99*DADOS!$C$19)</f>
        <v>0</v>
      </c>
      <c r="H99" s="14">
        <f t="shared" si="5"/>
        <v>0</v>
      </c>
      <c r="I99" s="14">
        <f t="shared" si="6"/>
        <v>0</v>
      </c>
      <c r="J99" s="14">
        <f t="shared" si="7"/>
        <v>0</v>
      </c>
    </row>
    <row r="100" spans="1:10" x14ac:dyDescent="0.25">
      <c r="A100" s="15">
        <v>94</v>
      </c>
      <c r="B100" s="14">
        <f>IF(A100&gt;$M$3,0,IF(A100=1,DADOS!$C$7,I99))</f>
        <v>0</v>
      </c>
      <c r="C100" s="14">
        <f>IF(A100&gt;$M$3,0,IF(DADOS!$C$11="PRICE",IF(A100&lt;=$M$4,0,MAX(0,E100-D100)),IF(DADOS!$C$11="SAC",IF(A100&lt;=$M$4,0,MIN($M$7,B100)),IF(DADOS!$C$11="AMERICANO",IF(A100=$M$3,MIN(DADOS!$C$7,B100),0),0))))</f>
        <v>0</v>
      </c>
      <c r="D100" s="14">
        <f t="shared" si="4"/>
        <v>0</v>
      </c>
      <c r="E100" s="14">
        <f>IF(A100&gt;$M$3,0,IF(DADOS!$C$11="PRICE",IF(A100&lt;=$M$4,D100,$M$6),IF(DADOS!$C$11="SAC",IF(A100&lt;=$M$4,D100,$M$7 + D100),IF(DADOS!$C$11="AMERICANO",IF(A100&lt;$M$3,D100,D100+C100),0))))</f>
        <v>0</v>
      </c>
      <c r="F100" s="14">
        <f>IF(A100&gt;$M$3,0,DADOS!$C$18)</f>
        <v>0</v>
      </c>
      <c r="G100" s="14">
        <f>IF(A100&gt;$M$3,0,B100*DADOS!$C$19)</f>
        <v>0</v>
      </c>
      <c r="H100" s="14">
        <f t="shared" si="5"/>
        <v>0</v>
      </c>
      <c r="I100" s="14">
        <f t="shared" si="6"/>
        <v>0</v>
      </c>
      <c r="J100" s="14">
        <f t="shared" si="7"/>
        <v>0</v>
      </c>
    </row>
    <row r="101" spans="1:10" x14ac:dyDescent="0.25">
      <c r="A101" s="15">
        <v>95</v>
      </c>
      <c r="B101" s="14">
        <f>IF(A101&gt;$M$3,0,IF(A101=1,DADOS!$C$7,I100))</f>
        <v>0</v>
      </c>
      <c r="C101" s="14">
        <f>IF(A101&gt;$M$3,0,IF(DADOS!$C$11="PRICE",IF(A101&lt;=$M$4,0,MAX(0,E101-D101)),IF(DADOS!$C$11="SAC",IF(A101&lt;=$M$4,0,MIN($M$7,B101)),IF(DADOS!$C$11="AMERICANO",IF(A101=$M$3,MIN(DADOS!$C$7,B101),0),0))))</f>
        <v>0</v>
      </c>
      <c r="D101" s="14">
        <f t="shared" si="4"/>
        <v>0</v>
      </c>
      <c r="E101" s="14">
        <f>IF(A101&gt;$M$3,0,IF(DADOS!$C$11="PRICE",IF(A101&lt;=$M$4,D101,$M$6),IF(DADOS!$C$11="SAC",IF(A101&lt;=$M$4,D101,$M$7 + D101),IF(DADOS!$C$11="AMERICANO",IF(A101&lt;$M$3,D101,D101+C101),0))))</f>
        <v>0</v>
      </c>
      <c r="F101" s="14">
        <f>IF(A101&gt;$M$3,0,DADOS!$C$18)</f>
        <v>0</v>
      </c>
      <c r="G101" s="14">
        <f>IF(A101&gt;$M$3,0,B101*DADOS!$C$19)</f>
        <v>0</v>
      </c>
      <c r="H101" s="14">
        <f t="shared" si="5"/>
        <v>0</v>
      </c>
      <c r="I101" s="14">
        <f t="shared" si="6"/>
        <v>0</v>
      </c>
      <c r="J101" s="14">
        <f t="shared" si="7"/>
        <v>0</v>
      </c>
    </row>
    <row r="102" spans="1:10" x14ac:dyDescent="0.25">
      <c r="A102" s="15">
        <v>96</v>
      </c>
      <c r="B102" s="14">
        <f>IF(A102&gt;$M$3,0,IF(A102=1,DADOS!$C$7,I101))</f>
        <v>0</v>
      </c>
      <c r="C102" s="14">
        <f>IF(A102&gt;$M$3,0,IF(DADOS!$C$11="PRICE",IF(A102&lt;=$M$4,0,MAX(0,E102-D102)),IF(DADOS!$C$11="SAC",IF(A102&lt;=$M$4,0,MIN($M$7,B102)),IF(DADOS!$C$11="AMERICANO",IF(A102=$M$3,MIN(DADOS!$C$7,B102),0),0))))</f>
        <v>0</v>
      </c>
      <c r="D102" s="14">
        <f t="shared" si="4"/>
        <v>0</v>
      </c>
      <c r="E102" s="14">
        <f>IF(A102&gt;$M$3,0,IF(DADOS!$C$11="PRICE",IF(A102&lt;=$M$4,D102,$M$6),IF(DADOS!$C$11="SAC",IF(A102&lt;=$M$4,D102,$M$7 + D102),IF(DADOS!$C$11="AMERICANO",IF(A102&lt;$M$3,D102,D102+C102),0))))</f>
        <v>0</v>
      </c>
      <c r="F102" s="14">
        <f>IF(A102&gt;$M$3,0,DADOS!$C$18)</f>
        <v>0</v>
      </c>
      <c r="G102" s="14">
        <f>IF(A102&gt;$M$3,0,B102*DADOS!$C$19)</f>
        <v>0</v>
      </c>
      <c r="H102" s="14">
        <f t="shared" si="5"/>
        <v>0</v>
      </c>
      <c r="I102" s="14">
        <f t="shared" si="6"/>
        <v>0</v>
      </c>
      <c r="J102" s="14">
        <f t="shared" si="7"/>
        <v>0</v>
      </c>
    </row>
    <row r="103" spans="1:10" x14ac:dyDescent="0.25">
      <c r="A103" s="15">
        <v>97</v>
      </c>
      <c r="B103" s="14">
        <f>IF(A103&gt;$M$3,0,IF(A103=1,DADOS!$C$7,I102))</f>
        <v>0</v>
      </c>
      <c r="C103" s="14">
        <f>IF(A103&gt;$M$3,0,IF(DADOS!$C$11="PRICE",IF(A103&lt;=$M$4,0,MAX(0,E103-D103)),IF(DADOS!$C$11="SAC",IF(A103&lt;=$M$4,0,MIN($M$7,B103)),IF(DADOS!$C$11="AMERICANO",IF(A103=$M$3,MIN(DADOS!$C$7,B103),0),0))))</f>
        <v>0</v>
      </c>
      <c r="D103" s="14">
        <f t="shared" si="4"/>
        <v>0</v>
      </c>
      <c r="E103" s="14">
        <f>IF(A103&gt;$M$3,0,IF(DADOS!$C$11="PRICE",IF(A103&lt;=$M$4,D103,$M$6),IF(DADOS!$C$11="SAC",IF(A103&lt;=$M$4,D103,$M$7 + D103),IF(DADOS!$C$11="AMERICANO",IF(A103&lt;$M$3,D103,D103+C103),0))))</f>
        <v>0</v>
      </c>
      <c r="F103" s="14">
        <f>IF(A103&gt;$M$3,0,DADOS!$C$18)</f>
        <v>0</v>
      </c>
      <c r="G103" s="14">
        <f>IF(A103&gt;$M$3,0,B103*DADOS!$C$19)</f>
        <v>0</v>
      </c>
      <c r="H103" s="14">
        <f t="shared" si="5"/>
        <v>0</v>
      </c>
      <c r="I103" s="14">
        <f t="shared" si="6"/>
        <v>0</v>
      </c>
      <c r="J103" s="14">
        <f t="shared" si="7"/>
        <v>0</v>
      </c>
    </row>
    <row r="104" spans="1:10" x14ac:dyDescent="0.25">
      <c r="A104" s="15">
        <v>98</v>
      </c>
      <c r="B104" s="14">
        <f>IF(A104&gt;$M$3,0,IF(A104=1,DADOS!$C$7,I103))</f>
        <v>0</v>
      </c>
      <c r="C104" s="14">
        <f>IF(A104&gt;$M$3,0,IF(DADOS!$C$11="PRICE",IF(A104&lt;=$M$4,0,MAX(0,E104-D104)),IF(DADOS!$C$11="SAC",IF(A104&lt;=$M$4,0,MIN($M$7,B104)),IF(DADOS!$C$11="AMERICANO",IF(A104=$M$3,MIN(DADOS!$C$7,B104),0),0))))</f>
        <v>0</v>
      </c>
      <c r="D104" s="14">
        <f t="shared" si="4"/>
        <v>0</v>
      </c>
      <c r="E104" s="14">
        <f>IF(A104&gt;$M$3,0,IF(DADOS!$C$11="PRICE",IF(A104&lt;=$M$4,D104,$M$6),IF(DADOS!$C$11="SAC",IF(A104&lt;=$M$4,D104,$M$7 + D104),IF(DADOS!$C$11="AMERICANO",IF(A104&lt;$M$3,D104,D104+C104),0))))</f>
        <v>0</v>
      </c>
      <c r="F104" s="14">
        <f>IF(A104&gt;$M$3,0,DADOS!$C$18)</f>
        <v>0</v>
      </c>
      <c r="G104" s="14">
        <f>IF(A104&gt;$M$3,0,B104*DADOS!$C$19)</f>
        <v>0</v>
      </c>
      <c r="H104" s="14">
        <f t="shared" si="5"/>
        <v>0</v>
      </c>
      <c r="I104" s="14">
        <f t="shared" si="6"/>
        <v>0</v>
      </c>
      <c r="J104" s="14">
        <f t="shared" si="7"/>
        <v>0</v>
      </c>
    </row>
    <row r="105" spans="1:10" x14ac:dyDescent="0.25">
      <c r="A105" s="15">
        <v>99</v>
      </c>
      <c r="B105" s="14">
        <f>IF(A105&gt;$M$3,0,IF(A105=1,DADOS!$C$7,I104))</f>
        <v>0</v>
      </c>
      <c r="C105" s="14">
        <f>IF(A105&gt;$M$3,0,IF(DADOS!$C$11="PRICE",IF(A105&lt;=$M$4,0,MAX(0,E105-D105)),IF(DADOS!$C$11="SAC",IF(A105&lt;=$M$4,0,MIN($M$7,B105)),IF(DADOS!$C$11="AMERICANO",IF(A105=$M$3,MIN(DADOS!$C$7,B105),0),0))))</f>
        <v>0</v>
      </c>
      <c r="D105" s="14">
        <f t="shared" si="4"/>
        <v>0</v>
      </c>
      <c r="E105" s="14">
        <f>IF(A105&gt;$M$3,0,IF(DADOS!$C$11="PRICE",IF(A105&lt;=$M$4,D105,$M$6),IF(DADOS!$C$11="SAC",IF(A105&lt;=$M$4,D105,$M$7 + D105),IF(DADOS!$C$11="AMERICANO",IF(A105&lt;$M$3,D105,D105+C105),0))))</f>
        <v>0</v>
      </c>
      <c r="F105" s="14">
        <f>IF(A105&gt;$M$3,0,DADOS!$C$18)</f>
        <v>0</v>
      </c>
      <c r="G105" s="14">
        <f>IF(A105&gt;$M$3,0,B105*DADOS!$C$19)</f>
        <v>0</v>
      </c>
      <c r="H105" s="14">
        <f t="shared" si="5"/>
        <v>0</v>
      </c>
      <c r="I105" s="14">
        <f t="shared" si="6"/>
        <v>0</v>
      </c>
      <c r="J105" s="14">
        <f t="shared" si="7"/>
        <v>0</v>
      </c>
    </row>
    <row r="106" spans="1:10" x14ac:dyDescent="0.25">
      <c r="A106" s="15">
        <v>100</v>
      </c>
      <c r="B106" s="14">
        <f>IF(A106&gt;$M$3,0,IF(A106=1,DADOS!$C$7,I105))</f>
        <v>0</v>
      </c>
      <c r="C106" s="14">
        <f>IF(A106&gt;$M$3,0,IF(DADOS!$C$11="PRICE",IF(A106&lt;=$M$4,0,MAX(0,E106-D106)),IF(DADOS!$C$11="SAC",IF(A106&lt;=$M$4,0,MIN($M$7,B106)),IF(DADOS!$C$11="AMERICANO",IF(A106=$M$3,MIN(DADOS!$C$7,B106),0),0))))</f>
        <v>0</v>
      </c>
      <c r="D106" s="14">
        <f t="shared" si="4"/>
        <v>0</v>
      </c>
      <c r="E106" s="14">
        <f>IF(A106&gt;$M$3,0,IF(DADOS!$C$11="PRICE",IF(A106&lt;=$M$4,D106,$M$6),IF(DADOS!$C$11="SAC",IF(A106&lt;=$M$4,D106,$M$7 + D106),IF(DADOS!$C$11="AMERICANO",IF(A106&lt;$M$3,D106,D106+C106),0))))</f>
        <v>0</v>
      </c>
      <c r="F106" s="14">
        <f>IF(A106&gt;$M$3,0,DADOS!$C$18)</f>
        <v>0</v>
      </c>
      <c r="G106" s="14">
        <f>IF(A106&gt;$M$3,0,B106*DADOS!$C$19)</f>
        <v>0</v>
      </c>
      <c r="H106" s="14">
        <f t="shared" si="5"/>
        <v>0</v>
      </c>
      <c r="I106" s="14">
        <f t="shared" si="6"/>
        <v>0</v>
      </c>
      <c r="J106" s="14">
        <f t="shared" si="7"/>
        <v>0</v>
      </c>
    </row>
    <row r="107" spans="1:10" x14ac:dyDescent="0.25">
      <c r="A107" s="15">
        <v>101</v>
      </c>
      <c r="B107" s="14">
        <f>IF(A107&gt;$M$3,0,IF(A107=1,DADOS!$C$7,I106))</f>
        <v>0</v>
      </c>
      <c r="C107" s="14">
        <f>IF(A107&gt;$M$3,0,IF(DADOS!$C$11="PRICE",IF(A107&lt;=$M$4,0,MAX(0,E107-D107)),IF(DADOS!$C$11="SAC",IF(A107&lt;=$M$4,0,MIN($M$7,B107)),IF(DADOS!$C$11="AMERICANO",IF(A107=$M$3,MIN(DADOS!$C$7,B107),0),0))))</f>
        <v>0</v>
      </c>
      <c r="D107" s="14">
        <f t="shared" si="4"/>
        <v>0</v>
      </c>
      <c r="E107" s="14">
        <f>IF(A107&gt;$M$3,0,IF(DADOS!$C$11="PRICE",IF(A107&lt;=$M$4,D107,$M$6),IF(DADOS!$C$11="SAC",IF(A107&lt;=$M$4,D107,$M$7 + D107),IF(DADOS!$C$11="AMERICANO",IF(A107&lt;$M$3,D107,D107+C107),0))))</f>
        <v>0</v>
      </c>
      <c r="F107" s="14">
        <f>IF(A107&gt;$M$3,0,DADOS!$C$18)</f>
        <v>0</v>
      </c>
      <c r="G107" s="14">
        <f>IF(A107&gt;$M$3,0,B107*DADOS!$C$19)</f>
        <v>0</v>
      </c>
      <c r="H107" s="14">
        <f t="shared" si="5"/>
        <v>0</v>
      </c>
      <c r="I107" s="14">
        <f t="shared" si="6"/>
        <v>0</v>
      </c>
      <c r="J107" s="14">
        <f t="shared" si="7"/>
        <v>0</v>
      </c>
    </row>
    <row r="108" spans="1:10" x14ac:dyDescent="0.25">
      <c r="A108" s="15">
        <v>102</v>
      </c>
      <c r="B108" s="14">
        <f>IF(A108&gt;$M$3,0,IF(A108=1,DADOS!$C$7,I107))</f>
        <v>0</v>
      </c>
      <c r="C108" s="14">
        <f>IF(A108&gt;$M$3,0,IF(DADOS!$C$11="PRICE",IF(A108&lt;=$M$4,0,MAX(0,E108-D108)),IF(DADOS!$C$11="SAC",IF(A108&lt;=$M$4,0,MIN($M$7,B108)),IF(DADOS!$C$11="AMERICANO",IF(A108=$M$3,MIN(DADOS!$C$7,B108),0),0))))</f>
        <v>0</v>
      </c>
      <c r="D108" s="14">
        <f t="shared" si="4"/>
        <v>0</v>
      </c>
      <c r="E108" s="14">
        <f>IF(A108&gt;$M$3,0,IF(DADOS!$C$11="PRICE",IF(A108&lt;=$M$4,D108,$M$6),IF(DADOS!$C$11="SAC",IF(A108&lt;=$M$4,D108,$M$7 + D108),IF(DADOS!$C$11="AMERICANO",IF(A108&lt;$M$3,D108,D108+C108),0))))</f>
        <v>0</v>
      </c>
      <c r="F108" s="14">
        <f>IF(A108&gt;$M$3,0,DADOS!$C$18)</f>
        <v>0</v>
      </c>
      <c r="G108" s="14">
        <f>IF(A108&gt;$M$3,0,B108*DADOS!$C$19)</f>
        <v>0</v>
      </c>
      <c r="H108" s="14">
        <f t="shared" si="5"/>
        <v>0</v>
      </c>
      <c r="I108" s="14">
        <f t="shared" si="6"/>
        <v>0</v>
      </c>
      <c r="J108" s="14">
        <f t="shared" si="7"/>
        <v>0</v>
      </c>
    </row>
    <row r="109" spans="1:10" x14ac:dyDescent="0.25">
      <c r="A109" s="15">
        <v>103</v>
      </c>
      <c r="B109" s="14">
        <f>IF(A109&gt;$M$3,0,IF(A109=1,DADOS!$C$7,I108))</f>
        <v>0</v>
      </c>
      <c r="C109" s="14">
        <f>IF(A109&gt;$M$3,0,IF(DADOS!$C$11="PRICE",IF(A109&lt;=$M$4,0,MAX(0,E109-D109)),IF(DADOS!$C$11="SAC",IF(A109&lt;=$M$4,0,MIN($M$7,B109)),IF(DADOS!$C$11="AMERICANO",IF(A109=$M$3,MIN(DADOS!$C$7,B109),0),0))))</f>
        <v>0</v>
      </c>
      <c r="D109" s="14">
        <f t="shared" si="4"/>
        <v>0</v>
      </c>
      <c r="E109" s="14">
        <f>IF(A109&gt;$M$3,0,IF(DADOS!$C$11="PRICE",IF(A109&lt;=$M$4,D109,$M$6),IF(DADOS!$C$11="SAC",IF(A109&lt;=$M$4,D109,$M$7 + D109),IF(DADOS!$C$11="AMERICANO",IF(A109&lt;$M$3,D109,D109+C109),0))))</f>
        <v>0</v>
      </c>
      <c r="F109" s="14">
        <f>IF(A109&gt;$M$3,0,DADOS!$C$18)</f>
        <v>0</v>
      </c>
      <c r="G109" s="14">
        <f>IF(A109&gt;$M$3,0,B109*DADOS!$C$19)</f>
        <v>0</v>
      </c>
      <c r="H109" s="14">
        <f t="shared" si="5"/>
        <v>0</v>
      </c>
      <c r="I109" s="14">
        <f t="shared" si="6"/>
        <v>0</v>
      </c>
      <c r="J109" s="14">
        <f t="shared" si="7"/>
        <v>0</v>
      </c>
    </row>
    <row r="110" spans="1:10" x14ac:dyDescent="0.25">
      <c r="A110" s="15">
        <v>104</v>
      </c>
      <c r="B110" s="14">
        <f>IF(A110&gt;$M$3,0,IF(A110=1,DADOS!$C$7,I109))</f>
        <v>0</v>
      </c>
      <c r="C110" s="14">
        <f>IF(A110&gt;$M$3,0,IF(DADOS!$C$11="PRICE",IF(A110&lt;=$M$4,0,MAX(0,E110-D110)),IF(DADOS!$C$11="SAC",IF(A110&lt;=$M$4,0,MIN($M$7,B110)),IF(DADOS!$C$11="AMERICANO",IF(A110=$M$3,MIN(DADOS!$C$7,B110),0),0))))</f>
        <v>0</v>
      </c>
      <c r="D110" s="14">
        <f t="shared" si="4"/>
        <v>0</v>
      </c>
      <c r="E110" s="14">
        <f>IF(A110&gt;$M$3,0,IF(DADOS!$C$11="PRICE",IF(A110&lt;=$M$4,D110,$M$6),IF(DADOS!$C$11="SAC",IF(A110&lt;=$M$4,D110,$M$7 + D110),IF(DADOS!$C$11="AMERICANO",IF(A110&lt;$M$3,D110,D110+C110),0))))</f>
        <v>0</v>
      </c>
      <c r="F110" s="14">
        <f>IF(A110&gt;$M$3,0,DADOS!$C$18)</f>
        <v>0</v>
      </c>
      <c r="G110" s="14">
        <f>IF(A110&gt;$M$3,0,B110*DADOS!$C$19)</f>
        <v>0</v>
      </c>
      <c r="H110" s="14">
        <f t="shared" si="5"/>
        <v>0</v>
      </c>
      <c r="I110" s="14">
        <f t="shared" si="6"/>
        <v>0</v>
      </c>
      <c r="J110" s="14">
        <f t="shared" si="7"/>
        <v>0</v>
      </c>
    </row>
    <row r="111" spans="1:10" x14ac:dyDescent="0.25">
      <c r="A111" s="15">
        <v>105</v>
      </c>
      <c r="B111" s="14">
        <f>IF(A111&gt;$M$3,0,IF(A111=1,DADOS!$C$7,I110))</f>
        <v>0</v>
      </c>
      <c r="C111" s="14">
        <f>IF(A111&gt;$M$3,0,IF(DADOS!$C$11="PRICE",IF(A111&lt;=$M$4,0,MAX(0,E111-D111)),IF(DADOS!$C$11="SAC",IF(A111&lt;=$M$4,0,MIN($M$7,B111)),IF(DADOS!$C$11="AMERICANO",IF(A111=$M$3,MIN(DADOS!$C$7,B111),0),0))))</f>
        <v>0</v>
      </c>
      <c r="D111" s="14">
        <f t="shared" si="4"/>
        <v>0</v>
      </c>
      <c r="E111" s="14">
        <f>IF(A111&gt;$M$3,0,IF(DADOS!$C$11="PRICE",IF(A111&lt;=$M$4,D111,$M$6),IF(DADOS!$C$11="SAC",IF(A111&lt;=$M$4,D111,$M$7 + D111),IF(DADOS!$C$11="AMERICANO",IF(A111&lt;$M$3,D111,D111+C111),0))))</f>
        <v>0</v>
      </c>
      <c r="F111" s="14">
        <f>IF(A111&gt;$M$3,0,DADOS!$C$18)</f>
        <v>0</v>
      </c>
      <c r="G111" s="14">
        <f>IF(A111&gt;$M$3,0,B111*DADOS!$C$19)</f>
        <v>0</v>
      </c>
      <c r="H111" s="14">
        <f t="shared" si="5"/>
        <v>0</v>
      </c>
      <c r="I111" s="14">
        <f t="shared" si="6"/>
        <v>0</v>
      </c>
      <c r="J111" s="14">
        <f t="shared" si="7"/>
        <v>0</v>
      </c>
    </row>
    <row r="112" spans="1:10" x14ac:dyDescent="0.25">
      <c r="A112" s="15">
        <v>106</v>
      </c>
      <c r="B112" s="14">
        <f>IF(A112&gt;$M$3,0,IF(A112=1,DADOS!$C$7,I111))</f>
        <v>0</v>
      </c>
      <c r="C112" s="14">
        <f>IF(A112&gt;$M$3,0,IF(DADOS!$C$11="PRICE",IF(A112&lt;=$M$4,0,MAX(0,E112-D112)),IF(DADOS!$C$11="SAC",IF(A112&lt;=$M$4,0,MIN($M$7,B112)),IF(DADOS!$C$11="AMERICANO",IF(A112=$M$3,MIN(DADOS!$C$7,B112),0),0))))</f>
        <v>0</v>
      </c>
      <c r="D112" s="14">
        <f t="shared" si="4"/>
        <v>0</v>
      </c>
      <c r="E112" s="14">
        <f>IF(A112&gt;$M$3,0,IF(DADOS!$C$11="PRICE",IF(A112&lt;=$M$4,D112,$M$6),IF(DADOS!$C$11="SAC",IF(A112&lt;=$M$4,D112,$M$7 + D112),IF(DADOS!$C$11="AMERICANO",IF(A112&lt;$M$3,D112,D112+C112),0))))</f>
        <v>0</v>
      </c>
      <c r="F112" s="14">
        <f>IF(A112&gt;$M$3,0,DADOS!$C$18)</f>
        <v>0</v>
      </c>
      <c r="G112" s="14">
        <f>IF(A112&gt;$M$3,0,B112*DADOS!$C$19)</f>
        <v>0</v>
      </c>
      <c r="H112" s="14">
        <f t="shared" si="5"/>
        <v>0</v>
      </c>
      <c r="I112" s="14">
        <f t="shared" si="6"/>
        <v>0</v>
      </c>
      <c r="J112" s="14">
        <f t="shared" si="7"/>
        <v>0</v>
      </c>
    </row>
    <row r="113" spans="1:10" x14ac:dyDescent="0.25">
      <c r="A113" s="15">
        <v>107</v>
      </c>
      <c r="B113" s="14">
        <f>IF(A113&gt;$M$3,0,IF(A113=1,DADOS!$C$7,I112))</f>
        <v>0</v>
      </c>
      <c r="C113" s="14">
        <f>IF(A113&gt;$M$3,0,IF(DADOS!$C$11="PRICE",IF(A113&lt;=$M$4,0,MAX(0,E113-D113)),IF(DADOS!$C$11="SAC",IF(A113&lt;=$M$4,0,MIN($M$7,B113)),IF(DADOS!$C$11="AMERICANO",IF(A113=$M$3,MIN(DADOS!$C$7,B113),0),0))))</f>
        <v>0</v>
      </c>
      <c r="D113" s="14">
        <f t="shared" si="4"/>
        <v>0</v>
      </c>
      <c r="E113" s="14">
        <f>IF(A113&gt;$M$3,0,IF(DADOS!$C$11="PRICE",IF(A113&lt;=$M$4,D113,$M$6),IF(DADOS!$C$11="SAC",IF(A113&lt;=$M$4,D113,$M$7 + D113),IF(DADOS!$C$11="AMERICANO",IF(A113&lt;$M$3,D113,D113+C113),0))))</f>
        <v>0</v>
      </c>
      <c r="F113" s="14">
        <f>IF(A113&gt;$M$3,0,DADOS!$C$18)</f>
        <v>0</v>
      </c>
      <c r="G113" s="14">
        <f>IF(A113&gt;$M$3,0,B113*DADOS!$C$19)</f>
        <v>0</v>
      </c>
      <c r="H113" s="14">
        <f t="shared" si="5"/>
        <v>0</v>
      </c>
      <c r="I113" s="14">
        <f t="shared" si="6"/>
        <v>0</v>
      </c>
      <c r="J113" s="14">
        <f t="shared" si="7"/>
        <v>0</v>
      </c>
    </row>
    <row r="114" spans="1:10" x14ac:dyDescent="0.25">
      <c r="A114" s="15">
        <v>108</v>
      </c>
      <c r="B114" s="14">
        <f>IF(A114&gt;$M$3,0,IF(A114=1,DADOS!$C$7,I113))</f>
        <v>0</v>
      </c>
      <c r="C114" s="14">
        <f>IF(A114&gt;$M$3,0,IF(DADOS!$C$11="PRICE",IF(A114&lt;=$M$4,0,MAX(0,E114-D114)),IF(DADOS!$C$11="SAC",IF(A114&lt;=$M$4,0,MIN($M$7,B114)),IF(DADOS!$C$11="AMERICANO",IF(A114=$M$3,MIN(DADOS!$C$7,B114),0),0))))</f>
        <v>0</v>
      </c>
      <c r="D114" s="14">
        <f t="shared" si="4"/>
        <v>0</v>
      </c>
      <c r="E114" s="14">
        <f>IF(A114&gt;$M$3,0,IF(DADOS!$C$11="PRICE",IF(A114&lt;=$M$4,D114,$M$6),IF(DADOS!$C$11="SAC",IF(A114&lt;=$M$4,D114,$M$7 + D114),IF(DADOS!$C$11="AMERICANO",IF(A114&lt;$M$3,D114,D114+C114),0))))</f>
        <v>0</v>
      </c>
      <c r="F114" s="14">
        <f>IF(A114&gt;$M$3,0,DADOS!$C$18)</f>
        <v>0</v>
      </c>
      <c r="G114" s="14">
        <f>IF(A114&gt;$M$3,0,B114*DADOS!$C$19)</f>
        <v>0</v>
      </c>
      <c r="H114" s="14">
        <f t="shared" si="5"/>
        <v>0</v>
      </c>
      <c r="I114" s="14">
        <f t="shared" si="6"/>
        <v>0</v>
      </c>
      <c r="J114" s="14">
        <f t="shared" si="7"/>
        <v>0</v>
      </c>
    </row>
    <row r="115" spans="1:10" x14ac:dyDescent="0.25">
      <c r="A115" s="15">
        <v>109</v>
      </c>
      <c r="B115" s="14">
        <f>IF(A115&gt;$M$3,0,IF(A115=1,DADOS!$C$7,I114))</f>
        <v>0</v>
      </c>
      <c r="C115" s="14">
        <f>IF(A115&gt;$M$3,0,IF(DADOS!$C$11="PRICE",IF(A115&lt;=$M$4,0,MAX(0,E115-D115)),IF(DADOS!$C$11="SAC",IF(A115&lt;=$M$4,0,MIN($M$7,B115)),IF(DADOS!$C$11="AMERICANO",IF(A115=$M$3,MIN(DADOS!$C$7,B115),0),0))))</f>
        <v>0</v>
      </c>
      <c r="D115" s="14">
        <f t="shared" si="4"/>
        <v>0</v>
      </c>
      <c r="E115" s="14">
        <f>IF(A115&gt;$M$3,0,IF(DADOS!$C$11="PRICE",IF(A115&lt;=$M$4,D115,$M$6),IF(DADOS!$C$11="SAC",IF(A115&lt;=$M$4,D115,$M$7 + D115),IF(DADOS!$C$11="AMERICANO",IF(A115&lt;$M$3,D115,D115+C115),0))))</f>
        <v>0</v>
      </c>
      <c r="F115" s="14">
        <f>IF(A115&gt;$M$3,0,DADOS!$C$18)</f>
        <v>0</v>
      </c>
      <c r="G115" s="14">
        <f>IF(A115&gt;$M$3,0,B115*DADOS!$C$19)</f>
        <v>0</v>
      </c>
      <c r="H115" s="14">
        <f t="shared" si="5"/>
        <v>0</v>
      </c>
      <c r="I115" s="14">
        <f t="shared" si="6"/>
        <v>0</v>
      </c>
      <c r="J115" s="14">
        <f t="shared" si="7"/>
        <v>0</v>
      </c>
    </row>
    <row r="116" spans="1:10" x14ac:dyDescent="0.25">
      <c r="A116" s="15">
        <v>110</v>
      </c>
      <c r="B116" s="14">
        <f>IF(A116&gt;$M$3,0,IF(A116=1,DADOS!$C$7,I115))</f>
        <v>0</v>
      </c>
      <c r="C116" s="14">
        <f>IF(A116&gt;$M$3,0,IF(DADOS!$C$11="PRICE",IF(A116&lt;=$M$4,0,MAX(0,E116-D116)),IF(DADOS!$C$11="SAC",IF(A116&lt;=$M$4,0,MIN($M$7,B116)),IF(DADOS!$C$11="AMERICANO",IF(A116=$M$3,MIN(DADOS!$C$7,B116),0),0))))</f>
        <v>0</v>
      </c>
      <c r="D116" s="14">
        <f t="shared" si="4"/>
        <v>0</v>
      </c>
      <c r="E116" s="14">
        <f>IF(A116&gt;$M$3,0,IF(DADOS!$C$11="PRICE",IF(A116&lt;=$M$4,D116,$M$6),IF(DADOS!$C$11="SAC",IF(A116&lt;=$M$4,D116,$M$7 + D116),IF(DADOS!$C$11="AMERICANO",IF(A116&lt;$M$3,D116,D116+C116),0))))</f>
        <v>0</v>
      </c>
      <c r="F116" s="14">
        <f>IF(A116&gt;$M$3,0,DADOS!$C$18)</f>
        <v>0</v>
      </c>
      <c r="G116" s="14">
        <f>IF(A116&gt;$M$3,0,B116*DADOS!$C$19)</f>
        <v>0</v>
      </c>
      <c r="H116" s="14">
        <f t="shared" si="5"/>
        <v>0</v>
      </c>
      <c r="I116" s="14">
        <f t="shared" si="6"/>
        <v>0</v>
      </c>
      <c r="J116" s="14">
        <f t="shared" si="7"/>
        <v>0</v>
      </c>
    </row>
    <row r="117" spans="1:10" x14ac:dyDescent="0.25">
      <c r="A117" s="15">
        <v>111</v>
      </c>
      <c r="B117" s="14">
        <f>IF(A117&gt;$M$3,0,IF(A117=1,DADOS!$C$7,I116))</f>
        <v>0</v>
      </c>
      <c r="C117" s="14">
        <f>IF(A117&gt;$M$3,0,IF(DADOS!$C$11="PRICE",IF(A117&lt;=$M$4,0,MAX(0,E117-D117)),IF(DADOS!$C$11="SAC",IF(A117&lt;=$M$4,0,MIN($M$7,B117)),IF(DADOS!$C$11="AMERICANO",IF(A117=$M$3,MIN(DADOS!$C$7,B117),0),0))))</f>
        <v>0</v>
      </c>
      <c r="D117" s="14">
        <f t="shared" si="4"/>
        <v>0</v>
      </c>
      <c r="E117" s="14">
        <f>IF(A117&gt;$M$3,0,IF(DADOS!$C$11="PRICE",IF(A117&lt;=$M$4,D117,$M$6),IF(DADOS!$C$11="SAC",IF(A117&lt;=$M$4,D117,$M$7 + D117),IF(DADOS!$C$11="AMERICANO",IF(A117&lt;$M$3,D117,D117+C117),0))))</f>
        <v>0</v>
      </c>
      <c r="F117" s="14">
        <f>IF(A117&gt;$M$3,0,DADOS!$C$18)</f>
        <v>0</v>
      </c>
      <c r="G117" s="14">
        <f>IF(A117&gt;$M$3,0,B117*DADOS!$C$19)</f>
        <v>0</v>
      </c>
      <c r="H117" s="14">
        <f t="shared" si="5"/>
        <v>0</v>
      </c>
      <c r="I117" s="14">
        <f t="shared" si="6"/>
        <v>0</v>
      </c>
      <c r="J117" s="14">
        <f t="shared" si="7"/>
        <v>0</v>
      </c>
    </row>
    <row r="118" spans="1:10" x14ac:dyDescent="0.25">
      <c r="A118" s="15">
        <v>112</v>
      </c>
      <c r="B118" s="14">
        <f>IF(A118&gt;$M$3,0,IF(A118=1,DADOS!$C$7,I117))</f>
        <v>0</v>
      </c>
      <c r="C118" s="14">
        <f>IF(A118&gt;$M$3,0,IF(DADOS!$C$11="PRICE",IF(A118&lt;=$M$4,0,MAX(0,E118-D118)),IF(DADOS!$C$11="SAC",IF(A118&lt;=$M$4,0,MIN($M$7,B118)),IF(DADOS!$C$11="AMERICANO",IF(A118=$M$3,MIN(DADOS!$C$7,B118),0),0))))</f>
        <v>0</v>
      </c>
      <c r="D118" s="14">
        <f t="shared" si="4"/>
        <v>0</v>
      </c>
      <c r="E118" s="14">
        <f>IF(A118&gt;$M$3,0,IF(DADOS!$C$11="PRICE",IF(A118&lt;=$M$4,D118,$M$6),IF(DADOS!$C$11="SAC",IF(A118&lt;=$M$4,D118,$M$7 + D118),IF(DADOS!$C$11="AMERICANO",IF(A118&lt;$M$3,D118,D118+C118),0))))</f>
        <v>0</v>
      </c>
      <c r="F118" s="14">
        <f>IF(A118&gt;$M$3,0,DADOS!$C$18)</f>
        <v>0</v>
      </c>
      <c r="G118" s="14">
        <f>IF(A118&gt;$M$3,0,B118*DADOS!$C$19)</f>
        <v>0</v>
      </c>
      <c r="H118" s="14">
        <f t="shared" si="5"/>
        <v>0</v>
      </c>
      <c r="I118" s="14">
        <f t="shared" si="6"/>
        <v>0</v>
      </c>
      <c r="J118" s="14">
        <f t="shared" si="7"/>
        <v>0</v>
      </c>
    </row>
    <row r="119" spans="1:10" x14ac:dyDescent="0.25">
      <c r="A119" s="15">
        <v>113</v>
      </c>
      <c r="B119" s="14">
        <f>IF(A119&gt;$M$3,0,IF(A119=1,DADOS!$C$7,I118))</f>
        <v>0</v>
      </c>
      <c r="C119" s="14">
        <f>IF(A119&gt;$M$3,0,IF(DADOS!$C$11="PRICE",IF(A119&lt;=$M$4,0,MAX(0,E119-D119)),IF(DADOS!$C$11="SAC",IF(A119&lt;=$M$4,0,MIN($M$7,B119)),IF(DADOS!$C$11="AMERICANO",IF(A119=$M$3,MIN(DADOS!$C$7,B119),0),0))))</f>
        <v>0</v>
      </c>
      <c r="D119" s="14">
        <f t="shared" si="4"/>
        <v>0</v>
      </c>
      <c r="E119" s="14">
        <f>IF(A119&gt;$M$3,0,IF(DADOS!$C$11="PRICE",IF(A119&lt;=$M$4,D119,$M$6),IF(DADOS!$C$11="SAC",IF(A119&lt;=$M$4,D119,$M$7 + D119),IF(DADOS!$C$11="AMERICANO",IF(A119&lt;$M$3,D119,D119+C119),0))))</f>
        <v>0</v>
      </c>
      <c r="F119" s="14">
        <f>IF(A119&gt;$M$3,0,DADOS!$C$18)</f>
        <v>0</v>
      </c>
      <c r="G119" s="14">
        <f>IF(A119&gt;$M$3,0,B119*DADOS!$C$19)</f>
        <v>0</v>
      </c>
      <c r="H119" s="14">
        <f t="shared" si="5"/>
        <v>0</v>
      </c>
      <c r="I119" s="14">
        <f t="shared" si="6"/>
        <v>0</v>
      </c>
      <c r="J119" s="14">
        <f t="shared" si="7"/>
        <v>0</v>
      </c>
    </row>
    <row r="120" spans="1:10" x14ac:dyDescent="0.25">
      <c r="A120" s="15">
        <v>114</v>
      </c>
      <c r="B120" s="14">
        <f>IF(A120&gt;$M$3,0,IF(A120=1,DADOS!$C$7,I119))</f>
        <v>0</v>
      </c>
      <c r="C120" s="14">
        <f>IF(A120&gt;$M$3,0,IF(DADOS!$C$11="PRICE",IF(A120&lt;=$M$4,0,MAX(0,E120-D120)),IF(DADOS!$C$11="SAC",IF(A120&lt;=$M$4,0,MIN($M$7,B120)),IF(DADOS!$C$11="AMERICANO",IF(A120=$M$3,MIN(DADOS!$C$7,B120),0),0))))</f>
        <v>0</v>
      </c>
      <c r="D120" s="14">
        <f t="shared" si="4"/>
        <v>0</v>
      </c>
      <c r="E120" s="14">
        <f>IF(A120&gt;$M$3,0,IF(DADOS!$C$11="PRICE",IF(A120&lt;=$M$4,D120,$M$6),IF(DADOS!$C$11="SAC",IF(A120&lt;=$M$4,D120,$M$7 + D120),IF(DADOS!$C$11="AMERICANO",IF(A120&lt;$M$3,D120,D120+C120),0))))</f>
        <v>0</v>
      </c>
      <c r="F120" s="14">
        <f>IF(A120&gt;$M$3,0,DADOS!$C$18)</f>
        <v>0</v>
      </c>
      <c r="G120" s="14">
        <f>IF(A120&gt;$M$3,0,B120*DADOS!$C$19)</f>
        <v>0</v>
      </c>
      <c r="H120" s="14">
        <f t="shared" si="5"/>
        <v>0</v>
      </c>
      <c r="I120" s="14">
        <f t="shared" si="6"/>
        <v>0</v>
      </c>
      <c r="J120" s="14">
        <f t="shared" si="7"/>
        <v>0</v>
      </c>
    </row>
    <row r="121" spans="1:10" x14ac:dyDescent="0.25">
      <c r="A121" s="15">
        <v>115</v>
      </c>
      <c r="B121" s="14">
        <f>IF(A121&gt;$M$3,0,IF(A121=1,DADOS!$C$7,I120))</f>
        <v>0</v>
      </c>
      <c r="C121" s="14">
        <f>IF(A121&gt;$M$3,0,IF(DADOS!$C$11="PRICE",IF(A121&lt;=$M$4,0,MAX(0,E121-D121)),IF(DADOS!$C$11="SAC",IF(A121&lt;=$M$4,0,MIN($M$7,B121)),IF(DADOS!$C$11="AMERICANO",IF(A121=$M$3,MIN(DADOS!$C$7,B121),0),0))))</f>
        <v>0</v>
      </c>
      <c r="D121" s="14">
        <f t="shared" si="4"/>
        <v>0</v>
      </c>
      <c r="E121" s="14">
        <f>IF(A121&gt;$M$3,0,IF(DADOS!$C$11="PRICE",IF(A121&lt;=$M$4,D121,$M$6),IF(DADOS!$C$11="SAC",IF(A121&lt;=$M$4,D121,$M$7 + D121),IF(DADOS!$C$11="AMERICANO",IF(A121&lt;$M$3,D121,D121+C121),0))))</f>
        <v>0</v>
      </c>
      <c r="F121" s="14">
        <f>IF(A121&gt;$M$3,0,DADOS!$C$18)</f>
        <v>0</v>
      </c>
      <c r="G121" s="14">
        <f>IF(A121&gt;$M$3,0,B121*DADOS!$C$19)</f>
        <v>0</v>
      </c>
      <c r="H121" s="14">
        <f t="shared" si="5"/>
        <v>0</v>
      </c>
      <c r="I121" s="14">
        <f t="shared" si="6"/>
        <v>0</v>
      </c>
      <c r="J121" s="14">
        <f t="shared" si="7"/>
        <v>0</v>
      </c>
    </row>
    <row r="122" spans="1:10" x14ac:dyDescent="0.25">
      <c r="A122" s="15">
        <v>116</v>
      </c>
      <c r="B122" s="14">
        <f>IF(A122&gt;$M$3,0,IF(A122=1,DADOS!$C$7,I121))</f>
        <v>0</v>
      </c>
      <c r="C122" s="14">
        <f>IF(A122&gt;$M$3,0,IF(DADOS!$C$11="PRICE",IF(A122&lt;=$M$4,0,MAX(0,E122-D122)),IF(DADOS!$C$11="SAC",IF(A122&lt;=$M$4,0,MIN($M$7,B122)),IF(DADOS!$C$11="AMERICANO",IF(A122=$M$3,MIN(DADOS!$C$7,B122),0),0))))</f>
        <v>0</v>
      </c>
      <c r="D122" s="14">
        <f t="shared" si="4"/>
        <v>0</v>
      </c>
      <c r="E122" s="14">
        <f>IF(A122&gt;$M$3,0,IF(DADOS!$C$11="PRICE",IF(A122&lt;=$M$4,D122,$M$6),IF(DADOS!$C$11="SAC",IF(A122&lt;=$M$4,D122,$M$7 + D122),IF(DADOS!$C$11="AMERICANO",IF(A122&lt;$M$3,D122,D122+C122),0))))</f>
        <v>0</v>
      </c>
      <c r="F122" s="14">
        <f>IF(A122&gt;$M$3,0,DADOS!$C$18)</f>
        <v>0</v>
      </c>
      <c r="G122" s="14">
        <f>IF(A122&gt;$M$3,0,B122*DADOS!$C$19)</f>
        <v>0</v>
      </c>
      <c r="H122" s="14">
        <f t="shared" si="5"/>
        <v>0</v>
      </c>
      <c r="I122" s="14">
        <f t="shared" si="6"/>
        <v>0</v>
      </c>
      <c r="J122" s="14">
        <f t="shared" si="7"/>
        <v>0</v>
      </c>
    </row>
    <row r="123" spans="1:10" x14ac:dyDescent="0.25">
      <c r="A123" s="15">
        <v>117</v>
      </c>
      <c r="B123" s="14">
        <f>IF(A123&gt;$M$3,0,IF(A123=1,DADOS!$C$7,I122))</f>
        <v>0</v>
      </c>
      <c r="C123" s="14">
        <f>IF(A123&gt;$M$3,0,IF(DADOS!$C$11="PRICE",IF(A123&lt;=$M$4,0,MAX(0,E123-D123)),IF(DADOS!$C$11="SAC",IF(A123&lt;=$M$4,0,MIN($M$7,B123)),IF(DADOS!$C$11="AMERICANO",IF(A123=$M$3,MIN(DADOS!$C$7,B123),0),0))))</f>
        <v>0</v>
      </c>
      <c r="D123" s="14">
        <f t="shared" si="4"/>
        <v>0</v>
      </c>
      <c r="E123" s="14">
        <f>IF(A123&gt;$M$3,0,IF(DADOS!$C$11="PRICE",IF(A123&lt;=$M$4,D123,$M$6),IF(DADOS!$C$11="SAC",IF(A123&lt;=$M$4,D123,$M$7 + D123),IF(DADOS!$C$11="AMERICANO",IF(A123&lt;$M$3,D123,D123+C123),0))))</f>
        <v>0</v>
      </c>
      <c r="F123" s="14">
        <f>IF(A123&gt;$M$3,0,DADOS!$C$18)</f>
        <v>0</v>
      </c>
      <c r="G123" s="14">
        <f>IF(A123&gt;$M$3,0,B123*DADOS!$C$19)</f>
        <v>0</v>
      </c>
      <c r="H123" s="14">
        <f t="shared" si="5"/>
        <v>0</v>
      </c>
      <c r="I123" s="14">
        <f t="shared" si="6"/>
        <v>0</v>
      </c>
      <c r="J123" s="14">
        <f t="shared" si="7"/>
        <v>0</v>
      </c>
    </row>
    <row r="124" spans="1:10" x14ac:dyDescent="0.25">
      <c r="A124" s="15">
        <v>118</v>
      </c>
      <c r="B124" s="14">
        <f>IF(A124&gt;$M$3,0,IF(A124=1,DADOS!$C$7,I123))</f>
        <v>0</v>
      </c>
      <c r="C124" s="14">
        <f>IF(A124&gt;$M$3,0,IF(DADOS!$C$11="PRICE",IF(A124&lt;=$M$4,0,MAX(0,E124-D124)),IF(DADOS!$C$11="SAC",IF(A124&lt;=$M$4,0,MIN($M$7,B124)),IF(DADOS!$C$11="AMERICANO",IF(A124=$M$3,MIN(DADOS!$C$7,B124),0),0))))</f>
        <v>0</v>
      </c>
      <c r="D124" s="14">
        <f t="shared" si="4"/>
        <v>0</v>
      </c>
      <c r="E124" s="14">
        <f>IF(A124&gt;$M$3,0,IF(DADOS!$C$11="PRICE",IF(A124&lt;=$M$4,D124,$M$6),IF(DADOS!$C$11="SAC",IF(A124&lt;=$M$4,D124,$M$7 + D124),IF(DADOS!$C$11="AMERICANO",IF(A124&lt;$M$3,D124,D124+C124),0))))</f>
        <v>0</v>
      </c>
      <c r="F124" s="14">
        <f>IF(A124&gt;$M$3,0,DADOS!$C$18)</f>
        <v>0</v>
      </c>
      <c r="G124" s="14">
        <f>IF(A124&gt;$M$3,0,B124*DADOS!$C$19)</f>
        <v>0</v>
      </c>
      <c r="H124" s="14">
        <f t="shared" si="5"/>
        <v>0</v>
      </c>
      <c r="I124" s="14">
        <f t="shared" si="6"/>
        <v>0</v>
      </c>
      <c r="J124" s="14">
        <f t="shared" si="7"/>
        <v>0</v>
      </c>
    </row>
    <row r="125" spans="1:10" x14ac:dyDescent="0.25">
      <c r="A125" s="15">
        <v>119</v>
      </c>
      <c r="B125" s="14">
        <f>IF(A125&gt;$M$3,0,IF(A125=1,DADOS!$C$7,I124))</f>
        <v>0</v>
      </c>
      <c r="C125" s="14">
        <f>IF(A125&gt;$M$3,0,IF(DADOS!$C$11="PRICE",IF(A125&lt;=$M$4,0,MAX(0,E125-D125)),IF(DADOS!$C$11="SAC",IF(A125&lt;=$M$4,0,MIN($M$7,B125)),IF(DADOS!$C$11="AMERICANO",IF(A125=$M$3,MIN(DADOS!$C$7,B125),0),0))))</f>
        <v>0</v>
      </c>
      <c r="D125" s="14">
        <f t="shared" si="4"/>
        <v>0</v>
      </c>
      <c r="E125" s="14">
        <f>IF(A125&gt;$M$3,0,IF(DADOS!$C$11="PRICE",IF(A125&lt;=$M$4,D125,$M$6),IF(DADOS!$C$11="SAC",IF(A125&lt;=$M$4,D125,$M$7 + D125),IF(DADOS!$C$11="AMERICANO",IF(A125&lt;$M$3,D125,D125+C125),0))))</f>
        <v>0</v>
      </c>
      <c r="F125" s="14">
        <f>IF(A125&gt;$M$3,0,DADOS!$C$18)</f>
        <v>0</v>
      </c>
      <c r="G125" s="14">
        <f>IF(A125&gt;$M$3,0,B125*DADOS!$C$19)</f>
        <v>0</v>
      </c>
      <c r="H125" s="14">
        <f t="shared" si="5"/>
        <v>0</v>
      </c>
      <c r="I125" s="14">
        <f t="shared" si="6"/>
        <v>0</v>
      </c>
      <c r="J125" s="14">
        <f t="shared" si="7"/>
        <v>0</v>
      </c>
    </row>
    <row r="126" spans="1:10" x14ac:dyDescent="0.25">
      <c r="A126" s="15">
        <v>120</v>
      </c>
      <c r="B126" s="14">
        <f>IF(A126&gt;$M$3,0,IF(A126=1,DADOS!$C$7,I125))</f>
        <v>0</v>
      </c>
      <c r="C126" s="14">
        <f>IF(A126&gt;$M$3,0,IF(DADOS!$C$11="PRICE",IF(A126&lt;=$M$4,0,MAX(0,E126-D126)),IF(DADOS!$C$11="SAC",IF(A126&lt;=$M$4,0,MIN($M$7,B126)),IF(DADOS!$C$11="AMERICANO",IF(A126=$M$3,MIN(DADOS!$C$7,B126),0),0))))</f>
        <v>0</v>
      </c>
      <c r="D126" s="14">
        <f t="shared" si="4"/>
        <v>0</v>
      </c>
      <c r="E126" s="14">
        <f>IF(A126&gt;$M$3,0,IF(DADOS!$C$11="PRICE",IF(A126&lt;=$M$4,D126,$M$6),IF(DADOS!$C$11="SAC",IF(A126&lt;=$M$4,D126,$M$7 + D126),IF(DADOS!$C$11="AMERICANO",IF(A126&lt;$M$3,D126,D126+C126),0))))</f>
        <v>0</v>
      </c>
      <c r="F126" s="14">
        <f>IF(A126&gt;$M$3,0,DADOS!$C$18)</f>
        <v>0</v>
      </c>
      <c r="G126" s="14">
        <f>IF(A126&gt;$M$3,0,B126*DADOS!$C$19)</f>
        <v>0</v>
      </c>
      <c r="H126" s="14">
        <f t="shared" si="5"/>
        <v>0</v>
      </c>
      <c r="I126" s="14">
        <f t="shared" si="6"/>
        <v>0</v>
      </c>
      <c r="J126" s="14">
        <f t="shared" si="7"/>
        <v>0</v>
      </c>
    </row>
    <row r="127" spans="1:10" x14ac:dyDescent="0.25">
      <c r="A127" s="15">
        <v>121</v>
      </c>
      <c r="B127" s="14">
        <f>IF(A127&gt;$M$3,0,IF(A127=1,DADOS!$C$7,I126))</f>
        <v>0</v>
      </c>
      <c r="C127" s="14">
        <f>IF(A127&gt;$M$3,0,IF(DADOS!$C$11="PRICE",IF(A127&lt;=$M$4,0,MAX(0,E127-D127)),IF(DADOS!$C$11="SAC",IF(A127&lt;=$M$4,0,MIN($M$7,B127)),IF(DADOS!$C$11="AMERICANO",IF(A127=$M$3,MIN(DADOS!$C$7,B127),0),0))))</f>
        <v>0</v>
      </c>
      <c r="D127" s="14">
        <f t="shared" si="4"/>
        <v>0</v>
      </c>
      <c r="E127" s="14">
        <f>IF(A127&gt;$M$3,0,IF(DADOS!$C$11="PRICE",IF(A127&lt;=$M$4,D127,$M$6),IF(DADOS!$C$11="SAC",IF(A127&lt;=$M$4,D127,$M$7 + D127),IF(DADOS!$C$11="AMERICANO",IF(A127&lt;$M$3,D127,D127+C127),0))))</f>
        <v>0</v>
      </c>
      <c r="F127" s="14">
        <f>IF(A127&gt;$M$3,0,DADOS!$C$18)</f>
        <v>0</v>
      </c>
      <c r="G127" s="14">
        <f>IF(A127&gt;$M$3,0,B127*DADOS!$C$19)</f>
        <v>0</v>
      </c>
      <c r="H127" s="14">
        <f t="shared" si="5"/>
        <v>0</v>
      </c>
      <c r="I127" s="14">
        <f t="shared" si="6"/>
        <v>0</v>
      </c>
      <c r="J127" s="14">
        <f t="shared" si="7"/>
        <v>0</v>
      </c>
    </row>
    <row r="128" spans="1:10" x14ac:dyDescent="0.25">
      <c r="A128" s="15">
        <v>122</v>
      </c>
      <c r="B128" s="14">
        <f>IF(A128&gt;$M$3,0,IF(A128=1,DADOS!$C$7,I127))</f>
        <v>0</v>
      </c>
      <c r="C128" s="14">
        <f>IF(A128&gt;$M$3,0,IF(DADOS!$C$11="PRICE",IF(A128&lt;=$M$4,0,MAX(0,E128-D128)),IF(DADOS!$C$11="SAC",IF(A128&lt;=$M$4,0,MIN($M$7,B128)),IF(DADOS!$C$11="AMERICANO",IF(A128=$M$3,MIN(DADOS!$C$7,B128),0),0))))</f>
        <v>0</v>
      </c>
      <c r="D128" s="14">
        <f t="shared" si="4"/>
        <v>0</v>
      </c>
      <c r="E128" s="14">
        <f>IF(A128&gt;$M$3,0,IF(DADOS!$C$11="PRICE",IF(A128&lt;=$M$4,D128,$M$6),IF(DADOS!$C$11="SAC",IF(A128&lt;=$M$4,D128,$M$7 + D128),IF(DADOS!$C$11="AMERICANO",IF(A128&lt;$M$3,D128,D128+C128),0))))</f>
        <v>0</v>
      </c>
      <c r="F128" s="14">
        <f>IF(A128&gt;$M$3,0,DADOS!$C$18)</f>
        <v>0</v>
      </c>
      <c r="G128" s="14">
        <f>IF(A128&gt;$M$3,0,B128*DADOS!$C$19)</f>
        <v>0</v>
      </c>
      <c r="H128" s="14">
        <f t="shared" si="5"/>
        <v>0</v>
      </c>
      <c r="I128" s="14">
        <f t="shared" si="6"/>
        <v>0</v>
      </c>
      <c r="J128" s="14">
        <f t="shared" si="7"/>
        <v>0</v>
      </c>
    </row>
    <row r="129" spans="1:10" x14ac:dyDescent="0.25">
      <c r="A129" s="15">
        <v>123</v>
      </c>
      <c r="B129" s="14">
        <f>IF(A129&gt;$M$3,0,IF(A129=1,DADOS!$C$7,I128))</f>
        <v>0</v>
      </c>
      <c r="C129" s="14">
        <f>IF(A129&gt;$M$3,0,IF(DADOS!$C$11="PRICE",IF(A129&lt;=$M$4,0,MAX(0,E129-D129)),IF(DADOS!$C$11="SAC",IF(A129&lt;=$M$4,0,MIN($M$7,B129)),IF(DADOS!$C$11="AMERICANO",IF(A129=$M$3,MIN(DADOS!$C$7,B129),0),0))))</f>
        <v>0</v>
      </c>
      <c r="D129" s="14">
        <f t="shared" si="4"/>
        <v>0</v>
      </c>
      <c r="E129" s="14">
        <f>IF(A129&gt;$M$3,0,IF(DADOS!$C$11="PRICE",IF(A129&lt;=$M$4,D129,$M$6),IF(DADOS!$C$11="SAC",IF(A129&lt;=$M$4,D129,$M$7 + D129),IF(DADOS!$C$11="AMERICANO",IF(A129&lt;$M$3,D129,D129+C129),0))))</f>
        <v>0</v>
      </c>
      <c r="F129" s="14">
        <f>IF(A129&gt;$M$3,0,DADOS!$C$18)</f>
        <v>0</v>
      </c>
      <c r="G129" s="14">
        <f>IF(A129&gt;$M$3,0,B129*DADOS!$C$19)</f>
        <v>0</v>
      </c>
      <c r="H129" s="14">
        <f t="shared" si="5"/>
        <v>0</v>
      </c>
      <c r="I129" s="14">
        <f t="shared" si="6"/>
        <v>0</v>
      </c>
      <c r="J129" s="14">
        <f t="shared" si="7"/>
        <v>0</v>
      </c>
    </row>
    <row r="130" spans="1:10" x14ac:dyDescent="0.25">
      <c r="A130" s="15">
        <v>124</v>
      </c>
      <c r="B130" s="14">
        <f>IF(A130&gt;$M$3,0,IF(A130=1,DADOS!$C$7,I129))</f>
        <v>0</v>
      </c>
      <c r="C130" s="14">
        <f>IF(A130&gt;$M$3,0,IF(DADOS!$C$11="PRICE",IF(A130&lt;=$M$4,0,MAX(0,E130-D130)),IF(DADOS!$C$11="SAC",IF(A130&lt;=$M$4,0,MIN($M$7,B130)),IF(DADOS!$C$11="AMERICANO",IF(A130=$M$3,MIN(DADOS!$C$7,B130),0),0))))</f>
        <v>0</v>
      </c>
      <c r="D130" s="14">
        <f t="shared" si="4"/>
        <v>0</v>
      </c>
      <c r="E130" s="14">
        <f>IF(A130&gt;$M$3,0,IF(DADOS!$C$11="PRICE",IF(A130&lt;=$M$4,D130,$M$6),IF(DADOS!$C$11="SAC",IF(A130&lt;=$M$4,D130,$M$7 + D130),IF(DADOS!$C$11="AMERICANO",IF(A130&lt;$M$3,D130,D130+C130),0))))</f>
        <v>0</v>
      </c>
      <c r="F130" s="14">
        <f>IF(A130&gt;$M$3,0,DADOS!$C$18)</f>
        <v>0</v>
      </c>
      <c r="G130" s="14">
        <f>IF(A130&gt;$M$3,0,B130*DADOS!$C$19)</f>
        <v>0</v>
      </c>
      <c r="H130" s="14">
        <f t="shared" si="5"/>
        <v>0</v>
      </c>
      <c r="I130" s="14">
        <f t="shared" si="6"/>
        <v>0</v>
      </c>
      <c r="J130" s="14">
        <f t="shared" si="7"/>
        <v>0</v>
      </c>
    </row>
    <row r="131" spans="1:10" x14ac:dyDescent="0.25">
      <c r="A131" s="15">
        <v>125</v>
      </c>
      <c r="B131" s="14">
        <f>IF(A131&gt;$M$3,0,IF(A131=1,DADOS!$C$7,I130))</f>
        <v>0</v>
      </c>
      <c r="C131" s="14">
        <f>IF(A131&gt;$M$3,0,IF(DADOS!$C$11="PRICE",IF(A131&lt;=$M$4,0,MAX(0,E131-D131)),IF(DADOS!$C$11="SAC",IF(A131&lt;=$M$4,0,MIN($M$7,B131)),IF(DADOS!$C$11="AMERICANO",IF(A131=$M$3,MIN(DADOS!$C$7,B131),0),0))))</f>
        <v>0</v>
      </c>
      <c r="D131" s="14">
        <f t="shared" si="4"/>
        <v>0</v>
      </c>
      <c r="E131" s="14">
        <f>IF(A131&gt;$M$3,0,IF(DADOS!$C$11="PRICE",IF(A131&lt;=$M$4,D131,$M$6),IF(DADOS!$C$11="SAC",IF(A131&lt;=$M$4,D131,$M$7 + D131),IF(DADOS!$C$11="AMERICANO",IF(A131&lt;$M$3,D131,D131+C131),0))))</f>
        <v>0</v>
      </c>
      <c r="F131" s="14">
        <f>IF(A131&gt;$M$3,0,DADOS!$C$18)</f>
        <v>0</v>
      </c>
      <c r="G131" s="14">
        <f>IF(A131&gt;$M$3,0,B131*DADOS!$C$19)</f>
        <v>0</v>
      </c>
      <c r="H131" s="14">
        <f t="shared" si="5"/>
        <v>0</v>
      </c>
      <c r="I131" s="14">
        <f t="shared" si="6"/>
        <v>0</v>
      </c>
      <c r="J131" s="14">
        <f t="shared" si="7"/>
        <v>0</v>
      </c>
    </row>
    <row r="132" spans="1:10" x14ac:dyDescent="0.25">
      <c r="A132" s="15">
        <v>126</v>
      </c>
      <c r="B132" s="14">
        <f>IF(A132&gt;$M$3,0,IF(A132=1,DADOS!$C$7,I131))</f>
        <v>0</v>
      </c>
      <c r="C132" s="14">
        <f>IF(A132&gt;$M$3,0,IF(DADOS!$C$11="PRICE",IF(A132&lt;=$M$4,0,MAX(0,E132-D132)),IF(DADOS!$C$11="SAC",IF(A132&lt;=$M$4,0,MIN($M$7,B132)),IF(DADOS!$C$11="AMERICANO",IF(A132=$M$3,MIN(DADOS!$C$7,B132),0),0))))</f>
        <v>0</v>
      </c>
      <c r="D132" s="14">
        <f t="shared" si="4"/>
        <v>0</v>
      </c>
      <c r="E132" s="14">
        <f>IF(A132&gt;$M$3,0,IF(DADOS!$C$11="PRICE",IF(A132&lt;=$M$4,D132,$M$6),IF(DADOS!$C$11="SAC",IF(A132&lt;=$M$4,D132,$M$7 + D132),IF(DADOS!$C$11="AMERICANO",IF(A132&lt;$M$3,D132,D132+C132),0))))</f>
        <v>0</v>
      </c>
      <c r="F132" s="14">
        <f>IF(A132&gt;$M$3,0,DADOS!$C$18)</f>
        <v>0</v>
      </c>
      <c r="G132" s="14">
        <f>IF(A132&gt;$M$3,0,B132*DADOS!$C$19)</f>
        <v>0</v>
      </c>
      <c r="H132" s="14">
        <f t="shared" si="5"/>
        <v>0</v>
      </c>
      <c r="I132" s="14">
        <f t="shared" si="6"/>
        <v>0</v>
      </c>
      <c r="J132" s="14">
        <f t="shared" si="7"/>
        <v>0</v>
      </c>
    </row>
    <row r="133" spans="1:10" x14ac:dyDescent="0.25">
      <c r="A133" s="15">
        <v>127</v>
      </c>
      <c r="B133" s="14">
        <f>IF(A133&gt;$M$3,0,IF(A133=1,DADOS!$C$7,I132))</f>
        <v>0</v>
      </c>
      <c r="C133" s="14">
        <f>IF(A133&gt;$M$3,0,IF(DADOS!$C$11="PRICE",IF(A133&lt;=$M$4,0,MAX(0,E133-D133)),IF(DADOS!$C$11="SAC",IF(A133&lt;=$M$4,0,MIN($M$7,B133)),IF(DADOS!$C$11="AMERICANO",IF(A133=$M$3,MIN(DADOS!$C$7,B133),0),0))))</f>
        <v>0</v>
      </c>
      <c r="D133" s="14">
        <f t="shared" si="4"/>
        <v>0</v>
      </c>
      <c r="E133" s="14">
        <f>IF(A133&gt;$M$3,0,IF(DADOS!$C$11="PRICE",IF(A133&lt;=$M$4,D133,$M$6),IF(DADOS!$C$11="SAC",IF(A133&lt;=$M$4,D133,$M$7 + D133),IF(DADOS!$C$11="AMERICANO",IF(A133&lt;$M$3,D133,D133+C133),0))))</f>
        <v>0</v>
      </c>
      <c r="F133" s="14">
        <f>IF(A133&gt;$M$3,0,DADOS!$C$18)</f>
        <v>0</v>
      </c>
      <c r="G133" s="14">
        <f>IF(A133&gt;$M$3,0,B133*DADOS!$C$19)</f>
        <v>0</v>
      </c>
      <c r="H133" s="14">
        <f t="shared" si="5"/>
        <v>0</v>
      </c>
      <c r="I133" s="14">
        <f t="shared" si="6"/>
        <v>0</v>
      </c>
      <c r="J133" s="14">
        <f t="shared" si="7"/>
        <v>0</v>
      </c>
    </row>
    <row r="134" spans="1:10" x14ac:dyDescent="0.25">
      <c r="A134" s="15">
        <v>128</v>
      </c>
      <c r="B134" s="14">
        <f>IF(A134&gt;$M$3,0,IF(A134=1,DADOS!$C$7,I133))</f>
        <v>0</v>
      </c>
      <c r="C134" s="14">
        <f>IF(A134&gt;$M$3,0,IF(DADOS!$C$11="PRICE",IF(A134&lt;=$M$4,0,MAX(0,E134-D134)),IF(DADOS!$C$11="SAC",IF(A134&lt;=$M$4,0,MIN($M$7,B134)),IF(DADOS!$C$11="AMERICANO",IF(A134=$M$3,MIN(DADOS!$C$7,B134),0),0))))</f>
        <v>0</v>
      </c>
      <c r="D134" s="14">
        <f t="shared" si="4"/>
        <v>0</v>
      </c>
      <c r="E134" s="14">
        <f>IF(A134&gt;$M$3,0,IF(DADOS!$C$11="PRICE",IF(A134&lt;=$M$4,D134,$M$6),IF(DADOS!$C$11="SAC",IF(A134&lt;=$M$4,D134,$M$7 + D134),IF(DADOS!$C$11="AMERICANO",IF(A134&lt;$M$3,D134,D134+C134),0))))</f>
        <v>0</v>
      </c>
      <c r="F134" s="14">
        <f>IF(A134&gt;$M$3,0,DADOS!$C$18)</f>
        <v>0</v>
      </c>
      <c r="G134" s="14">
        <f>IF(A134&gt;$M$3,0,B134*DADOS!$C$19)</f>
        <v>0</v>
      </c>
      <c r="H134" s="14">
        <f t="shared" si="5"/>
        <v>0</v>
      </c>
      <c r="I134" s="14">
        <f t="shared" si="6"/>
        <v>0</v>
      </c>
      <c r="J134" s="14">
        <f t="shared" si="7"/>
        <v>0</v>
      </c>
    </row>
    <row r="135" spans="1:10" x14ac:dyDescent="0.25">
      <c r="A135" s="15">
        <v>129</v>
      </c>
      <c r="B135" s="14">
        <f>IF(A135&gt;$M$3,0,IF(A135=1,DADOS!$C$7,I134))</f>
        <v>0</v>
      </c>
      <c r="C135" s="14">
        <f>IF(A135&gt;$M$3,0,IF(DADOS!$C$11="PRICE",IF(A135&lt;=$M$4,0,MAX(0,E135-D135)),IF(DADOS!$C$11="SAC",IF(A135&lt;=$M$4,0,MIN($M$7,B135)),IF(DADOS!$C$11="AMERICANO",IF(A135=$M$3,MIN(DADOS!$C$7,B135),0),0))))</f>
        <v>0</v>
      </c>
      <c r="D135" s="14">
        <f t="shared" ref="D135:D198" si="8">IF(A135&gt;$M$3,0,B135*$M$2)</f>
        <v>0</v>
      </c>
      <c r="E135" s="14">
        <f>IF(A135&gt;$M$3,0,IF(DADOS!$C$11="PRICE",IF(A135&lt;=$M$4,D135,$M$6),IF(DADOS!$C$11="SAC",IF(A135&lt;=$M$4,D135,$M$7 + D135),IF(DADOS!$C$11="AMERICANO",IF(A135&lt;$M$3,D135,D135+C135),0))))</f>
        <v>0</v>
      </c>
      <c r="F135" s="14">
        <f>IF(A135&gt;$M$3,0,DADOS!$C$18)</f>
        <v>0</v>
      </c>
      <c r="G135" s="14">
        <f>IF(A135&gt;$M$3,0,B135*DADOS!$C$19)</f>
        <v>0</v>
      </c>
      <c r="H135" s="14">
        <f t="shared" ref="H135:H198" si="9">IF(A135&gt;$M$3,0,E135+F135+G135)</f>
        <v>0</v>
      </c>
      <c r="I135" s="14">
        <f t="shared" ref="I135:I198" si="10">IF(A135&gt;$M$3,0,MAX(0,B135-C135))</f>
        <v>0</v>
      </c>
      <c r="J135" s="14">
        <f t="shared" ref="J135:J198" si="11">IF(A135&gt;$M$3,0,-H135)</f>
        <v>0</v>
      </c>
    </row>
    <row r="136" spans="1:10" x14ac:dyDescent="0.25">
      <c r="A136" s="15">
        <v>130</v>
      </c>
      <c r="B136" s="14">
        <f>IF(A136&gt;$M$3,0,IF(A136=1,DADOS!$C$7,I135))</f>
        <v>0</v>
      </c>
      <c r="C136" s="14">
        <f>IF(A136&gt;$M$3,0,IF(DADOS!$C$11="PRICE",IF(A136&lt;=$M$4,0,MAX(0,E136-D136)),IF(DADOS!$C$11="SAC",IF(A136&lt;=$M$4,0,MIN($M$7,B136)),IF(DADOS!$C$11="AMERICANO",IF(A136=$M$3,MIN(DADOS!$C$7,B136),0),0))))</f>
        <v>0</v>
      </c>
      <c r="D136" s="14">
        <f t="shared" si="8"/>
        <v>0</v>
      </c>
      <c r="E136" s="14">
        <f>IF(A136&gt;$M$3,0,IF(DADOS!$C$11="PRICE",IF(A136&lt;=$M$4,D136,$M$6),IF(DADOS!$C$11="SAC",IF(A136&lt;=$M$4,D136,$M$7 + D136),IF(DADOS!$C$11="AMERICANO",IF(A136&lt;$M$3,D136,D136+C136),0))))</f>
        <v>0</v>
      </c>
      <c r="F136" s="14">
        <f>IF(A136&gt;$M$3,0,DADOS!$C$18)</f>
        <v>0</v>
      </c>
      <c r="G136" s="14">
        <f>IF(A136&gt;$M$3,0,B136*DADOS!$C$19)</f>
        <v>0</v>
      </c>
      <c r="H136" s="14">
        <f t="shared" si="9"/>
        <v>0</v>
      </c>
      <c r="I136" s="14">
        <f t="shared" si="10"/>
        <v>0</v>
      </c>
      <c r="J136" s="14">
        <f t="shared" si="11"/>
        <v>0</v>
      </c>
    </row>
    <row r="137" spans="1:10" x14ac:dyDescent="0.25">
      <c r="A137" s="15">
        <v>131</v>
      </c>
      <c r="B137" s="14">
        <f>IF(A137&gt;$M$3,0,IF(A137=1,DADOS!$C$7,I136))</f>
        <v>0</v>
      </c>
      <c r="C137" s="14">
        <f>IF(A137&gt;$M$3,0,IF(DADOS!$C$11="PRICE",IF(A137&lt;=$M$4,0,MAX(0,E137-D137)),IF(DADOS!$C$11="SAC",IF(A137&lt;=$M$4,0,MIN($M$7,B137)),IF(DADOS!$C$11="AMERICANO",IF(A137=$M$3,MIN(DADOS!$C$7,B137),0),0))))</f>
        <v>0</v>
      </c>
      <c r="D137" s="14">
        <f t="shared" si="8"/>
        <v>0</v>
      </c>
      <c r="E137" s="14">
        <f>IF(A137&gt;$M$3,0,IF(DADOS!$C$11="PRICE",IF(A137&lt;=$M$4,D137,$M$6),IF(DADOS!$C$11="SAC",IF(A137&lt;=$M$4,D137,$M$7 + D137),IF(DADOS!$C$11="AMERICANO",IF(A137&lt;$M$3,D137,D137+C137),0))))</f>
        <v>0</v>
      </c>
      <c r="F137" s="14">
        <f>IF(A137&gt;$M$3,0,DADOS!$C$18)</f>
        <v>0</v>
      </c>
      <c r="G137" s="14">
        <f>IF(A137&gt;$M$3,0,B137*DADOS!$C$19)</f>
        <v>0</v>
      </c>
      <c r="H137" s="14">
        <f t="shared" si="9"/>
        <v>0</v>
      </c>
      <c r="I137" s="14">
        <f t="shared" si="10"/>
        <v>0</v>
      </c>
      <c r="J137" s="14">
        <f t="shared" si="11"/>
        <v>0</v>
      </c>
    </row>
    <row r="138" spans="1:10" x14ac:dyDescent="0.25">
      <c r="A138" s="15">
        <v>132</v>
      </c>
      <c r="B138" s="14">
        <f>IF(A138&gt;$M$3,0,IF(A138=1,DADOS!$C$7,I137))</f>
        <v>0</v>
      </c>
      <c r="C138" s="14">
        <f>IF(A138&gt;$M$3,0,IF(DADOS!$C$11="PRICE",IF(A138&lt;=$M$4,0,MAX(0,E138-D138)),IF(DADOS!$C$11="SAC",IF(A138&lt;=$M$4,0,MIN($M$7,B138)),IF(DADOS!$C$11="AMERICANO",IF(A138=$M$3,MIN(DADOS!$C$7,B138),0),0))))</f>
        <v>0</v>
      </c>
      <c r="D138" s="14">
        <f t="shared" si="8"/>
        <v>0</v>
      </c>
      <c r="E138" s="14">
        <f>IF(A138&gt;$M$3,0,IF(DADOS!$C$11="PRICE",IF(A138&lt;=$M$4,D138,$M$6),IF(DADOS!$C$11="SAC",IF(A138&lt;=$M$4,D138,$M$7 + D138),IF(DADOS!$C$11="AMERICANO",IF(A138&lt;$M$3,D138,D138+C138),0))))</f>
        <v>0</v>
      </c>
      <c r="F138" s="14">
        <f>IF(A138&gt;$M$3,0,DADOS!$C$18)</f>
        <v>0</v>
      </c>
      <c r="G138" s="14">
        <f>IF(A138&gt;$M$3,0,B138*DADOS!$C$19)</f>
        <v>0</v>
      </c>
      <c r="H138" s="14">
        <f t="shared" si="9"/>
        <v>0</v>
      </c>
      <c r="I138" s="14">
        <f t="shared" si="10"/>
        <v>0</v>
      </c>
      <c r="J138" s="14">
        <f t="shared" si="11"/>
        <v>0</v>
      </c>
    </row>
    <row r="139" spans="1:10" x14ac:dyDescent="0.25">
      <c r="A139" s="15">
        <v>133</v>
      </c>
      <c r="B139" s="14">
        <f>IF(A139&gt;$M$3,0,IF(A139=1,DADOS!$C$7,I138))</f>
        <v>0</v>
      </c>
      <c r="C139" s="14">
        <f>IF(A139&gt;$M$3,0,IF(DADOS!$C$11="PRICE",IF(A139&lt;=$M$4,0,MAX(0,E139-D139)),IF(DADOS!$C$11="SAC",IF(A139&lt;=$M$4,0,MIN($M$7,B139)),IF(DADOS!$C$11="AMERICANO",IF(A139=$M$3,MIN(DADOS!$C$7,B139),0),0))))</f>
        <v>0</v>
      </c>
      <c r="D139" s="14">
        <f t="shared" si="8"/>
        <v>0</v>
      </c>
      <c r="E139" s="14">
        <f>IF(A139&gt;$M$3,0,IF(DADOS!$C$11="PRICE",IF(A139&lt;=$M$4,D139,$M$6),IF(DADOS!$C$11="SAC",IF(A139&lt;=$M$4,D139,$M$7 + D139),IF(DADOS!$C$11="AMERICANO",IF(A139&lt;$M$3,D139,D139+C139),0))))</f>
        <v>0</v>
      </c>
      <c r="F139" s="14">
        <f>IF(A139&gt;$M$3,0,DADOS!$C$18)</f>
        <v>0</v>
      </c>
      <c r="G139" s="14">
        <f>IF(A139&gt;$M$3,0,B139*DADOS!$C$19)</f>
        <v>0</v>
      </c>
      <c r="H139" s="14">
        <f t="shared" si="9"/>
        <v>0</v>
      </c>
      <c r="I139" s="14">
        <f t="shared" si="10"/>
        <v>0</v>
      </c>
      <c r="J139" s="14">
        <f t="shared" si="11"/>
        <v>0</v>
      </c>
    </row>
    <row r="140" spans="1:10" x14ac:dyDescent="0.25">
      <c r="A140" s="15">
        <v>134</v>
      </c>
      <c r="B140" s="14">
        <f>IF(A140&gt;$M$3,0,IF(A140=1,DADOS!$C$7,I139))</f>
        <v>0</v>
      </c>
      <c r="C140" s="14">
        <f>IF(A140&gt;$M$3,0,IF(DADOS!$C$11="PRICE",IF(A140&lt;=$M$4,0,MAX(0,E140-D140)),IF(DADOS!$C$11="SAC",IF(A140&lt;=$M$4,0,MIN($M$7,B140)),IF(DADOS!$C$11="AMERICANO",IF(A140=$M$3,MIN(DADOS!$C$7,B140),0),0))))</f>
        <v>0</v>
      </c>
      <c r="D140" s="14">
        <f t="shared" si="8"/>
        <v>0</v>
      </c>
      <c r="E140" s="14">
        <f>IF(A140&gt;$M$3,0,IF(DADOS!$C$11="PRICE",IF(A140&lt;=$M$4,D140,$M$6),IF(DADOS!$C$11="SAC",IF(A140&lt;=$M$4,D140,$M$7 + D140),IF(DADOS!$C$11="AMERICANO",IF(A140&lt;$M$3,D140,D140+C140),0))))</f>
        <v>0</v>
      </c>
      <c r="F140" s="14">
        <f>IF(A140&gt;$M$3,0,DADOS!$C$18)</f>
        <v>0</v>
      </c>
      <c r="G140" s="14">
        <f>IF(A140&gt;$M$3,0,B140*DADOS!$C$19)</f>
        <v>0</v>
      </c>
      <c r="H140" s="14">
        <f t="shared" si="9"/>
        <v>0</v>
      </c>
      <c r="I140" s="14">
        <f t="shared" si="10"/>
        <v>0</v>
      </c>
      <c r="J140" s="14">
        <f t="shared" si="11"/>
        <v>0</v>
      </c>
    </row>
    <row r="141" spans="1:10" x14ac:dyDescent="0.25">
      <c r="A141" s="15">
        <v>135</v>
      </c>
      <c r="B141" s="14">
        <f>IF(A141&gt;$M$3,0,IF(A141=1,DADOS!$C$7,I140))</f>
        <v>0</v>
      </c>
      <c r="C141" s="14">
        <f>IF(A141&gt;$M$3,0,IF(DADOS!$C$11="PRICE",IF(A141&lt;=$M$4,0,MAX(0,E141-D141)),IF(DADOS!$C$11="SAC",IF(A141&lt;=$M$4,0,MIN($M$7,B141)),IF(DADOS!$C$11="AMERICANO",IF(A141=$M$3,MIN(DADOS!$C$7,B141),0),0))))</f>
        <v>0</v>
      </c>
      <c r="D141" s="14">
        <f t="shared" si="8"/>
        <v>0</v>
      </c>
      <c r="E141" s="14">
        <f>IF(A141&gt;$M$3,0,IF(DADOS!$C$11="PRICE",IF(A141&lt;=$M$4,D141,$M$6),IF(DADOS!$C$11="SAC",IF(A141&lt;=$M$4,D141,$M$7 + D141),IF(DADOS!$C$11="AMERICANO",IF(A141&lt;$M$3,D141,D141+C141),0))))</f>
        <v>0</v>
      </c>
      <c r="F141" s="14">
        <f>IF(A141&gt;$M$3,0,DADOS!$C$18)</f>
        <v>0</v>
      </c>
      <c r="G141" s="14">
        <f>IF(A141&gt;$M$3,0,B141*DADOS!$C$19)</f>
        <v>0</v>
      </c>
      <c r="H141" s="14">
        <f t="shared" si="9"/>
        <v>0</v>
      </c>
      <c r="I141" s="14">
        <f t="shared" si="10"/>
        <v>0</v>
      </c>
      <c r="J141" s="14">
        <f t="shared" si="11"/>
        <v>0</v>
      </c>
    </row>
    <row r="142" spans="1:10" x14ac:dyDescent="0.25">
      <c r="A142" s="15">
        <v>136</v>
      </c>
      <c r="B142" s="14">
        <f>IF(A142&gt;$M$3,0,IF(A142=1,DADOS!$C$7,I141))</f>
        <v>0</v>
      </c>
      <c r="C142" s="14">
        <f>IF(A142&gt;$M$3,0,IF(DADOS!$C$11="PRICE",IF(A142&lt;=$M$4,0,MAX(0,E142-D142)),IF(DADOS!$C$11="SAC",IF(A142&lt;=$M$4,0,MIN($M$7,B142)),IF(DADOS!$C$11="AMERICANO",IF(A142=$M$3,MIN(DADOS!$C$7,B142),0),0))))</f>
        <v>0</v>
      </c>
      <c r="D142" s="14">
        <f t="shared" si="8"/>
        <v>0</v>
      </c>
      <c r="E142" s="14">
        <f>IF(A142&gt;$M$3,0,IF(DADOS!$C$11="PRICE",IF(A142&lt;=$M$4,D142,$M$6),IF(DADOS!$C$11="SAC",IF(A142&lt;=$M$4,D142,$M$7 + D142),IF(DADOS!$C$11="AMERICANO",IF(A142&lt;$M$3,D142,D142+C142),0))))</f>
        <v>0</v>
      </c>
      <c r="F142" s="14">
        <f>IF(A142&gt;$M$3,0,DADOS!$C$18)</f>
        <v>0</v>
      </c>
      <c r="G142" s="14">
        <f>IF(A142&gt;$M$3,0,B142*DADOS!$C$19)</f>
        <v>0</v>
      </c>
      <c r="H142" s="14">
        <f t="shared" si="9"/>
        <v>0</v>
      </c>
      <c r="I142" s="14">
        <f t="shared" si="10"/>
        <v>0</v>
      </c>
      <c r="J142" s="14">
        <f t="shared" si="11"/>
        <v>0</v>
      </c>
    </row>
    <row r="143" spans="1:10" x14ac:dyDescent="0.25">
      <c r="A143" s="15">
        <v>137</v>
      </c>
      <c r="B143" s="14">
        <f>IF(A143&gt;$M$3,0,IF(A143=1,DADOS!$C$7,I142))</f>
        <v>0</v>
      </c>
      <c r="C143" s="14">
        <f>IF(A143&gt;$M$3,0,IF(DADOS!$C$11="PRICE",IF(A143&lt;=$M$4,0,MAX(0,E143-D143)),IF(DADOS!$C$11="SAC",IF(A143&lt;=$M$4,0,MIN($M$7,B143)),IF(DADOS!$C$11="AMERICANO",IF(A143=$M$3,MIN(DADOS!$C$7,B143),0),0))))</f>
        <v>0</v>
      </c>
      <c r="D143" s="14">
        <f t="shared" si="8"/>
        <v>0</v>
      </c>
      <c r="E143" s="14">
        <f>IF(A143&gt;$M$3,0,IF(DADOS!$C$11="PRICE",IF(A143&lt;=$M$4,D143,$M$6),IF(DADOS!$C$11="SAC",IF(A143&lt;=$M$4,D143,$M$7 + D143),IF(DADOS!$C$11="AMERICANO",IF(A143&lt;$M$3,D143,D143+C143),0))))</f>
        <v>0</v>
      </c>
      <c r="F143" s="14">
        <f>IF(A143&gt;$M$3,0,DADOS!$C$18)</f>
        <v>0</v>
      </c>
      <c r="G143" s="14">
        <f>IF(A143&gt;$M$3,0,B143*DADOS!$C$19)</f>
        <v>0</v>
      </c>
      <c r="H143" s="14">
        <f t="shared" si="9"/>
        <v>0</v>
      </c>
      <c r="I143" s="14">
        <f t="shared" si="10"/>
        <v>0</v>
      </c>
      <c r="J143" s="14">
        <f t="shared" si="11"/>
        <v>0</v>
      </c>
    </row>
    <row r="144" spans="1:10" x14ac:dyDescent="0.25">
      <c r="A144" s="15">
        <v>138</v>
      </c>
      <c r="B144" s="14">
        <f>IF(A144&gt;$M$3,0,IF(A144=1,DADOS!$C$7,I143))</f>
        <v>0</v>
      </c>
      <c r="C144" s="14">
        <f>IF(A144&gt;$M$3,0,IF(DADOS!$C$11="PRICE",IF(A144&lt;=$M$4,0,MAX(0,E144-D144)),IF(DADOS!$C$11="SAC",IF(A144&lt;=$M$4,0,MIN($M$7,B144)),IF(DADOS!$C$11="AMERICANO",IF(A144=$M$3,MIN(DADOS!$C$7,B144),0),0))))</f>
        <v>0</v>
      </c>
      <c r="D144" s="14">
        <f t="shared" si="8"/>
        <v>0</v>
      </c>
      <c r="E144" s="14">
        <f>IF(A144&gt;$M$3,0,IF(DADOS!$C$11="PRICE",IF(A144&lt;=$M$4,D144,$M$6),IF(DADOS!$C$11="SAC",IF(A144&lt;=$M$4,D144,$M$7 + D144),IF(DADOS!$C$11="AMERICANO",IF(A144&lt;$M$3,D144,D144+C144),0))))</f>
        <v>0</v>
      </c>
      <c r="F144" s="14">
        <f>IF(A144&gt;$M$3,0,DADOS!$C$18)</f>
        <v>0</v>
      </c>
      <c r="G144" s="14">
        <f>IF(A144&gt;$M$3,0,B144*DADOS!$C$19)</f>
        <v>0</v>
      </c>
      <c r="H144" s="14">
        <f t="shared" si="9"/>
        <v>0</v>
      </c>
      <c r="I144" s="14">
        <f t="shared" si="10"/>
        <v>0</v>
      </c>
      <c r="J144" s="14">
        <f t="shared" si="11"/>
        <v>0</v>
      </c>
    </row>
    <row r="145" spans="1:10" x14ac:dyDescent="0.25">
      <c r="A145" s="15">
        <v>139</v>
      </c>
      <c r="B145" s="14">
        <f>IF(A145&gt;$M$3,0,IF(A145=1,DADOS!$C$7,I144))</f>
        <v>0</v>
      </c>
      <c r="C145" s="14">
        <f>IF(A145&gt;$M$3,0,IF(DADOS!$C$11="PRICE",IF(A145&lt;=$M$4,0,MAX(0,E145-D145)),IF(DADOS!$C$11="SAC",IF(A145&lt;=$M$4,0,MIN($M$7,B145)),IF(DADOS!$C$11="AMERICANO",IF(A145=$M$3,MIN(DADOS!$C$7,B145),0),0))))</f>
        <v>0</v>
      </c>
      <c r="D145" s="14">
        <f t="shared" si="8"/>
        <v>0</v>
      </c>
      <c r="E145" s="14">
        <f>IF(A145&gt;$M$3,0,IF(DADOS!$C$11="PRICE",IF(A145&lt;=$M$4,D145,$M$6),IF(DADOS!$C$11="SAC",IF(A145&lt;=$M$4,D145,$M$7 + D145),IF(DADOS!$C$11="AMERICANO",IF(A145&lt;$M$3,D145,D145+C145),0))))</f>
        <v>0</v>
      </c>
      <c r="F145" s="14">
        <f>IF(A145&gt;$M$3,0,DADOS!$C$18)</f>
        <v>0</v>
      </c>
      <c r="G145" s="14">
        <f>IF(A145&gt;$M$3,0,B145*DADOS!$C$19)</f>
        <v>0</v>
      </c>
      <c r="H145" s="14">
        <f t="shared" si="9"/>
        <v>0</v>
      </c>
      <c r="I145" s="14">
        <f t="shared" si="10"/>
        <v>0</v>
      </c>
      <c r="J145" s="14">
        <f t="shared" si="11"/>
        <v>0</v>
      </c>
    </row>
    <row r="146" spans="1:10" x14ac:dyDescent="0.25">
      <c r="A146" s="15">
        <v>140</v>
      </c>
      <c r="B146" s="14">
        <f>IF(A146&gt;$M$3,0,IF(A146=1,DADOS!$C$7,I145))</f>
        <v>0</v>
      </c>
      <c r="C146" s="14">
        <f>IF(A146&gt;$M$3,0,IF(DADOS!$C$11="PRICE",IF(A146&lt;=$M$4,0,MAX(0,E146-D146)),IF(DADOS!$C$11="SAC",IF(A146&lt;=$M$4,0,MIN($M$7,B146)),IF(DADOS!$C$11="AMERICANO",IF(A146=$M$3,MIN(DADOS!$C$7,B146),0),0))))</f>
        <v>0</v>
      </c>
      <c r="D146" s="14">
        <f t="shared" si="8"/>
        <v>0</v>
      </c>
      <c r="E146" s="14">
        <f>IF(A146&gt;$M$3,0,IF(DADOS!$C$11="PRICE",IF(A146&lt;=$M$4,D146,$M$6),IF(DADOS!$C$11="SAC",IF(A146&lt;=$M$4,D146,$M$7 + D146),IF(DADOS!$C$11="AMERICANO",IF(A146&lt;$M$3,D146,D146+C146),0))))</f>
        <v>0</v>
      </c>
      <c r="F146" s="14">
        <f>IF(A146&gt;$M$3,0,DADOS!$C$18)</f>
        <v>0</v>
      </c>
      <c r="G146" s="14">
        <f>IF(A146&gt;$M$3,0,B146*DADOS!$C$19)</f>
        <v>0</v>
      </c>
      <c r="H146" s="14">
        <f t="shared" si="9"/>
        <v>0</v>
      </c>
      <c r="I146" s="14">
        <f t="shared" si="10"/>
        <v>0</v>
      </c>
      <c r="J146" s="14">
        <f t="shared" si="11"/>
        <v>0</v>
      </c>
    </row>
    <row r="147" spans="1:10" x14ac:dyDescent="0.25">
      <c r="A147" s="15">
        <v>141</v>
      </c>
      <c r="B147" s="14">
        <f>IF(A147&gt;$M$3,0,IF(A147=1,DADOS!$C$7,I146))</f>
        <v>0</v>
      </c>
      <c r="C147" s="14">
        <f>IF(A147&gt;$M$3,0,IF(DADOS!$C$11="PRICE",IF(A147&lt;=$M$4,0,MAX(0,E147-D147)),IF(DADOS!$C$11="SAC",IF(A147&lt;=$M$4,0,MIN($M$7,B147)),IF(DADOS!$C$11="AMERICANO",IF(A147=$M$3,MIN(DADOS!$C$7,B147),0),0))))</f>
        <v>0</v>
      </c>
      <c r="D147" s="14">
        <f t="shared" si="8"/>
        <v>0</v>
      </c>
      <c r="E147" s="14">
        <f>IF(A147&gt;$M$3,0,IF(DADOS!$C$11="PRICE",IF(A147&lt;=$M$4,D147,$M$6),IF(DADOS!$C$11="SAC",IF(A147&lt;=$M$4,D147,$M$7 + D147),IF(DADOS!$C$11="AMERICANO",IF(A147&lt;$M$3,D147,D147+C147),0))))</f>
        <v>0</v>
      </c>
      <c r="F147" s="14">
        <f>IF(A147&gt;$M$3,0,DADOS!$C$18)</f>
        <v>0</v>
      </c>
      <c r="G147" s="14">
        <f>IF(A147&gt;$M$3,0,B147*DADOS!$C$19)</f>
        <v>0</v>
      </c>
      <c r="H147" s="14">
        <f t="shared" si="9"/>
        <v>0</v>
      </c>
      <c r="I147" s="14">
        <f t="shared" si="10"/>
        <v>0</v>
      </c>
      <c r="J147" s="14">
        <f t="shared" si="11"/>
        <v>0</v>
      </c>
    </row>
    <row r="148" spans="1:10" x14ac:dyDescent="0.25">
      <c r="A148" s="15">
        <v>142</v>
      </c>
      <c r="B148" s="14">
        <f>IF(A148&gt;$M$3,0,IF(A148=1,DADOS!$C$7,I147))</f>
        <v>0</v>
      </c>
      <c r="C148" s="14">
        <f>IF(A148&gt;$M$3,0,IF(DADOS!$C$11="PRICE",IF(A148&lt;=$M$4,0,MAX(0,E148-D148)),IF(DADOS!$C$11="SAC",IF(A148&lt;=$M$4,0,MIN($M$7,B148)),IF(DADOS!$C$11="AMERICANO",IF(A148=$M$3,MIN(DADOS!$C$7,B148),0),0))))</f>
        <v>0</v>
      </c>
      <c r="D148" s="14">
        <f t="shared" si="8"/>
        <v>0</v>
      </c>
      <c r="E148" s="14">
        <f>IF(A148&gt;$M$3,0,IF(DADOS!$C$11="PRICE",IF(A148&lt;=$M$4,D148,$M$6),IF(DADOS!$C$11="SAC",IF(A148&lt;=$M$4,D148,$M$7 + D148),IF(DADOS!$C$11="AMERICANO",IF(A148&lt;$M$3,D148,D148+C148),0))))</f>
        <v>0</v>
      </c>
      <c r="F148" s="14">
        <f>IF(A148&gt;$M$3,0,DADOS!$C$18)</f>
        <v>0</v>
      </c>
      <c r="G148" s="14">
        <f>IF(A148&gt;$M$3,0,B148*DADOS!$C$19)</f>
        <v>0</v>
      </c>
      <c r="H148" s="14">
        <f t="shared" si="9"/>
        <v>0</v>
      </c>
      <c r="I148" s="14">
        <f t="shared" si="10"/>
        <v>0</v>
      </c>
      <c r="J148" s="14">
        <f t="shared" si="11"/>
        <v>0</v>
      </c>
    </row>
    <row r="149" spans="1:10" x14ac:dyDescent="0.25">
      <c r="A149" s="15">
        <v>143</v>
      </c>
      <c r="B149" s="14">
        <f>IF(A149&gt;$M$3,0,IF(A149=1,DADOS!$C$7,I148))</f>
        <v>0</v>
      </c>
      <c r="C149" s="14">
        <f>IF(A149&gt;$M$3,0,IF(DADOS!$C$11="PRICE",IF(A149&lt;=$M$4,0,MAX(0,E149-D149)),IF(DADOS!$C$11="SAC",IF(A149&lt;=$M$4,0,MIN($M$7,B149)),IF(DADOS!$C$11="AMERICANO",IF(A149=$M$3,MIN(DADOS!$C$7,B149),0),0))))</f>
        <v>0</v>
      </c>
      <c r="D149" s="14">
        <f t="shared" si="8"/>
        <v>0</v>
      </c>
      <c r="E149" s="14">
        <f>IF(A149&gt;$M$3,0,IF(DADOS!$C$11="PRICE",IF(A149&lt;=$M$4,D149,$M$6),IF(DADOS!$C$11="SAC",IF(A149&lt;=$M$4,D149,$M$7 + D149),IF(DADOS!$C$11="AMERICANO",IF(A149&lt;$M$3,D149,D149+C149),0))))</f>
        <v>0</v>
      </c>
      <c r="F149" s="14">
        <f>IF(A149&gt;$M$3,0,DADOS!$C$18)</f>
        <v>0</v>
      </c>
      <c r="G149" s="14">
        <f>IF(A149&gt;$M$3,0,B149*DADOS!$C$19)</f>
        <v>0</v>
      </c>
      <c r="H149" s="14">
        <f t="shared" si="9"/>
        <v>0</v>
      </c>
      <c r="I149" s="14">
        <f t="shared" si="10"/>
        <v>0</v>
      </c>
      <c r="J149" s="14">
        <f t="shared" si="11"/>
        <v>0</v>
      </c>
    </row>
    <row r="150" spans="1:10" x14ac:dyDescent="0.25">
      <c r="A150" s="15">
        <v>144</v>
      </c>
      <c r="B150" s="14">
        <f>IF(A150&gt;$M$3,0,IF(A150=1,DADOS!$C$7,I149))</f>
        <v>0</v>
      </c>
      <c r="C150" s="14">
        <f>IF(A150&gt;$M$3,0,IF(DADOS!$C$11="PRICE",IF(A150&lt;=$M$4,0,MAX(0,E150-D150)),IF(DADOS!$C$11="SAC",IF(A150&lt;=$M$4,0,MIN($M$7,B150)),IF(DADOS!$C$11="AMERICANO",IF(A150=$M$3,MIN(DADOS!$C$7,B150),0),0))))</f>
        <v>0</v>
      </c>
      <c r="D150" s="14">
        <f t="shared" si="8"/>
        <v>0</v>
      </c>
      <c r="E150" s="14">
        <f>IF(A150&gt;$M$3,0,IF(DADOS!$C$11="PRICE",IF(A150&lt;=$M$4,D150,$M$6),IF(DADOS!$C$11="SAC",IF(A150&lt;=$M$4,D150,$M$7 + D150),IF(DADOS!$C$11="AMERICANO",IF(A150&lt;$M$3,D150,D150+C150),0))))</f>
        <v>0</v>
      </c>
      <c r="F150" s="14">
        <f>IF(A150&gt;$M$3,0,DADOS!$C$18)</f>
        <v>0</v>
      </c>
      <c r="G150" s="14">
        <f>IF(A150&gt;$M$3,0,B150*DADOS!$C$19)</f>
        <v>0</v>
      </c>
      <c r="H150" s="14">
        <f t="shared" si="9"/>
        <v>0</v>
      </c>
      <c r="I150" s="14">
        <f t="shared" si="10"/>
        <v>0</v>
      </c>
      <c r="J150" s="14">
        <f t="shared" si="11"/>
        <v>0</v>
      </c>
    </row>
    <row r="151" spans="1:10" x14ac:dyDescent="0.25">
      <c r="A151" s="15">
        <v>145</v>
      </c>
      <c r="B151" s="14">
        <f>IF(A151&gt;$M$3,0,IF(A151=1,DADOS!$C$7,I150))</f>
        <v>0</v>
      </c>
      <c r="C151" s="14">
        <f>IF(A151&gt;$M$3,0,IF(DADOS!$C$11="PRICE",IF(A151&lt;=$M$4,0,MAX(0,E151-D151)),IF(DADOS!$C$11="SAC",IF(A151&lt;=$M$4,0,MIN($M$7,B151)),IF(DADOS!$C$11="AMERICANO",IF(A151=$M$3,MIN(DADOS!$C$7,B151),0),0))))</f>
        <v>0</v>
      </c>
      <c r="D151" s="14">
        <f t="shared" si="8"/>
        <v>0</v>
      </c>
      <c r="E151" s="14">
        <f>IF(A151&gt;$M$3,0,IF(DADOS!$C$11="PRICE",IF(A151&lt;=$M$4,D151,$M$6),IF(DADOS!$C$11="SAC",IF(A151&lt;=$M$4,D151,$M$7 + D151),IF(DADOS!$C$11="AMERICANO",IF(A151&lt;$M$3,D151,D151+C151),0))))</f>
        <v>0</v>
      </c>
      <c r="F151" s="14">
        <f>IF(A151&gt;$M$3,0,DADOS!$C$18)</f>
        <v>0</v>
      </c>
      <c r="G151" s="14">
        <f>IF(A151&gt;$M$3,0,B151*DADOS!$C$19)</f>
        <v>0</v>
      </c>
      <c r="H151" s="14">
        <f t="shared" si="9"/>
        <v>0</v>
      </c>
      <c r="I151" s="14">
        <f t="shared" si="10"/>
        <v>0</v>
      </c>
      <c r="J151" s="14">
        <f t="shared" si="11"/>
        <v>0</v>
      </c>
    </row>
    <row r="152" spans="1:10" x14ac:dyDescent="0.25">
      <c r="A152" s="15">
        <v>146</v>
      </c>
      <c r="B152" s="14">
        <f>IF(A152&gt;$M$3,0,IF(A152=1,DADOS!$C$7,I151))</f>
        <v>0</v>
      </c>
      <c r="C152" s="14">
        <f>IF(A152&gt;$M$3,0,IF(DADOS!$C$11="PRICE",IF(A152&lt;=$M$4,0,MAX(0,E152-D152)),IF(DADOS!$C$11="SAC",IF(A152&lt;=$M$4,0,MIN($M$7,B152)),IF(DADOS!$C$11="AMERICANO",IF(A152=$M$3,MIN(DADOS!$C$7,B152),0),0))))</f>
        <v>0</v>
      </c>
      <c r="D152" s="14">
        <f t="shared" si="8"/>
        <v>0</v>
      </c>
      <c r="E152" s="14">
        <f>IF(A152&gt;$M$3,0,IF(DADOS!$C$11="PRICE",IF(A152&lt;=$M$4,D152,$M$6),IF(DADOS!$C$11="SAC",IF(A152&lt;=$M$4,D152,$M$7 + D152),IF(DADOS!$C$11="AMERICANO",IF(A152&lt;$M$3,D152,D152+C152),0))))</f>
        <v>0</v>
      </c>
      <c r="F152" s="14">
        <f>IF(A152&gt;$M$3,0,DADOS!$C$18)</f>
        <v>0</v>
      </c>
      <c r="G152" s="14">
        <f>IF(A152&gt;$M$3,0,B152*DADOS!$C$19)</f>
        <v>0</v>
      </c>
      <c r="H152" s="14">
        <f t="shared" si="9"/>
        <v>0</v>
      </c>
      <c r="I152" s="14">
        <f t="shared" si="10"/>
        <v>0</v>
      </c>
      <c r="J152" s="14">
        <f t="shared" si="11"/>
        <v>0</v>
      </c>
    </row>
    <row r="153" spans="1:10" x14ac:dyDescent="0.25">
      <c r="A153" s="15">
        <v>147</v>
      </c>
      <c r="B153" s="14">
        <f>IF(A153&gt;$M$3,0,IF(A153=1,DADOS!$C$7,I152))</f>
        <v>0</v>
      </c>
      <c r="C153" s="14">
        <f>IF(A153&gt;$M$3,0,IF(DADOS!$C$11="PRICE",IF(A153&lt;=$M$4,0,MAX(0,E153-D153)),IF(DADOS!$C$11="SAC",IF(A153&lt;=$M$4,0,MIN($M$7,B153)),IF(DADOS!$C$11="AMERICANO",IF(A153=$M$3,MIN(DADOS!$C$7,B153),0),0))))</f>
        <v>0</v>
      </c>
      <c r="D153" s="14">
        <f t="shared" si="8"/>
        <v>0</v>
      </c>
      <c r="E153" s="14">
        <f>IF(A153&gt;$M$3,0,IF(DADOS!$C$11="PRICE",IF(A153&lt;=$M$4,D153,$M$6),IF(DADOS!$C$11="SAC",IF(A153&lt;=$M$4,D153,$M$7 + D153),IF(DADOS!$C$11="AMERICANO",IF(A153&lt;$M$3,D153,D153+C153),0))))</f>
        <v>0</v>
      </c>
      <c r="F153" s="14">
        <f>IF(A153&gt;$M$3,0,DADOS!$C$18)</f>
        <v>0</v>
      </c>
      <c r="G153" s="14">
        <f>IF(A153&gt;$M$3,0,B153*DADOS!$C$19)</f>
        <v>0</v>
      </c>
      <c r="H153" s="14">
        <f t="shared" si="9"/>
        <v>0</v>
      </c>
      <c r="I153" s="14">
        <f t="shared" si="10"/>
        <v>0</v>
      </c>
      <c r="J153" s="14">
        <f t="shared" si="11"/>
        <v>0</v>
      </c>
    </row>
    <row r="154" spans="1:10" x14ac:dyDescent="0.25">
      <c r="A154" s="15">
        <v>148</v>
      </c>
      <c r="B154" s="14">
        <f>IF(A154&gt;$M$3,0,IF(A154=1,DADOS!$C$7,I153))</f>
        <v>0</v>
      </c>
      <c r="C154" s="14">
        <f>IF(A154&gt;$M$3,0,IF(DADOS!$C$11="PRICE",IF(A154&lt;=$M$4,0,MAX(0,E154-D154)),IF(DADOS!$C$11="SAC",IF(A154&lt;=$M$4,0,MIN($M$7,B154)),IF(DADOS!$C$11="AMERICANO",IF(A154=$M$3,MIN(DADOS!$C$7,B154),0),0))))</f>
        <v>0</v>
      </c>
      <c r="D154" s="14">
        <f t="shared" si="8"/>
        <v>0</v>
      </c>
      <c r="E154" s="14">
        <f>IF(A154&gt;$M$3,0,IF(DADOS!$C$11="PRICE",IF(A154&lt;=$M$4,D154,$M$6),IF(DADOS!$C$11="SAC",IF(A154&lt;=$M$4,D154,$M$7 + D154),IF(DADOS!$C$11="AMERICANO",IF(A154&lt;$M$3,D154,D154+C154),0))))</f>
        <v>0</v>
      </c>
      <c r="F154" s="14">
        <f>IF(A154&gt;$M$3,0,DADOS!$C$18)</f>
        <v>0</v>
      </c>
      <c r="G154" s="14">
        <f>IF(A154&gt;$M$3,0,B154*DADOS!$C$19)</f>
        <v>0</v>
      </c>
      <c r="H154" s="14">
        <f t="shared" si="9"/>
        <v>0</v>
      </c>
      <c r="I154" s="14">
        <f t="shared" si="10"/>
        <v>0</v>
      </c>
      <c r="J154" s="14">
        <f t="shared" si="11"/>
        <v>0</v>
      </c>
    </row>
    <row r="155" spans="1:10" x14ac:dyDescent="0.25">
      <c r="A155" s="15">
        <v>149</v>
      </c>
      <c r="B155" s="14">
        <f>IF(A155&gt;$M$3,0,IF(A155=1,DADOS!$C$7,I154))</f>
        <v>0</v>
      </c>
      <c r="C155" s="14">
        <f>IF(A155&gt;$M$3,0,IF(DADOS!$C$11="PRICE",IF(A155&lt;=$M$4,0,MAX(0,E155-D155)),IF(DADOS!$C$11="SAC",IF(A155&lt;=$M$4,0,MIN($M$7,B155)),IF(DADOS!$C$11="AMERICANO",IF(A155=$M$3,MIN(DADOS!$C$7,B155),0),0))))</f>
        <v>0</v>
      </c>
      <c r="D155" s="14">
        <f t="shared" si="8"/>
        <v>0</v>
      </c>
      <c r="E155" s="14">
        <f>IF(A155&gt;$M$3,0,IF(DADOS!$C$11="PRICE",IF(A155&lt;=$M$4,D155,$M$6),IF(DADOS!$C$11="SAC",IF(A155&lt;=$M$4,D155,$M$7 + D155),IF(DADOS!$C$11="AMERICANO",IF(A155&lt;$M$3,D155,D155+C155),0))))</f>
        <v>0</v>
      </c>
      <c r="F155" s="14">
        <f>IF(A155&gt;$M$3,0,DADOS!$C$18)</f>
        <v>0</v>
      </c>
      <c r="G155" s="14">
        <f>IF(A155&gt;$M$3,0,B155*DADOS!$C$19)</f>
        <v>0</v>
      </c>
      <c r="H155" s="14">
        <f t="shared" si="9"/>
        <v>0</v>
      </c>
      <c r="I155" s="14">
        <f t="shared" si="10"/>
        <v>0</v>
      </c>
      <c r="J155" s="14">
        <f t="shared" si="11"/>
        <v>0</v>
      </c>
    </row>
    <row r="156" spans="1:10" x14ac:dyDescent="0.25">
      <c r="A156" s="15">
        <v>150</v>
      </c>
      <c r="B156" s="14">
        <f>IF(A156&gt;$M$3,0,IF(A156=1,DADOS!$C$7,I155))</f>
        <v>0</v>
      </c>
      <c r="C156" s="14">
        <f>IF(A156&gt;$M$3,0,IF(DADOS!$C$11="PRICE",IF(A156&lt;=$M$4,0,MAX(0,E156-D156)),IF(DADOS!$C$11="SAC",IF(A156&lt;=$M$4,0,MIN($M$7,B156)),IF(DADOS!$C$11="AMERICANO",IF(A156=$M$3,MIN(DADOS!$C$7,B156),0),0))))</f>
        <v>0</v>
      </c>
      <c r="D156" s="14">
        <f t="shared" si="8"/>
        <v>0</v>
      </c>
      <c r="E156" s="14">
        <f>IF(A156&gt;$M$3,0,IF(DADOS!$C$11="PRICE",IF(A156&lt;=$M$4,D156,$M$6),IF(DADOS!$C$11="SAC",IF(A156&lt;=$M$4,D156,$M$7 + D156),IF(DADOS!$C$11="AMERICANO",IF(A156&lt;$M$3,D156,D156+C156),0))))</f>
        <v>0</v>
      </c>
      <c r="F156" s="14">
        <f>IF(A156&gt;$M$3,0,DADOS!$C$18)</f>
        <v>0</v>
      </c>
      <c r="G156" s="14">
        <f>IF(A156&gt;$M$3,0,B156*DADOS!$C$19)</f>
        <v>0</v>
      </c>
      <c r="H156" s="14">
        <f t="shared" si="9"/>
        <v>0</v>
      </c>
      <c r="I156" s="14">
        <f t="shared" si="10"/>
        <v>0</v>
      </c>
      <c r="J156" s="14">
        <f t="shared" si="11"/>
        <v>0</v>
      </c>
    </row>
    <row r="157" spans="1:10" x14ac:dyDescent="0.25">
      <c r="A157" s="15">
        <v>151</v>
      </c>
      <c r="B157" s="14">
        <f>IF(A157&gt;$M$3,0,IF(A157=1,DADOS!$C$7,I156))</f>
        <v>0</v>
      </c>
      <c r="C157" s="14">
        <f>IF(A157&gt;$M$3,0,IF(DADOS!$C$11="PRICE",IF(A157&lt;=$M$4,0,MAX(0,E157-D157)),IF(DADOS!$C$11="SAC",IF(A157&lt;=$M$4,0,MIN($M$7,B157)),IF(DADOS!$C$11="AMERICANO",IF(A157=$M$3,MIN(DADOS!$C$7,B157),0),0))))</f>
        <v>0</v>
      </c>
      <c r="D157" s="14">
        <f t="shared" si="8"/>
        <v>0</v>
      </c>
      <c r="E157" s="14">
        <f>IF(A157&gt;$M$3,0,IF(DADOS!$C$11="PRICE",IF(A157&lt;=$M$4,D157,$M$6),IF(DADOS!$C$11="SAC",IF(A157&lt;=$M$4,D157,$M$7 + D157),IF(DADOS!$C$11="AMERICANO",IF(A157&lt;$M$3,D157,D157+C157),0))))</f>
        <v>0</v>
      </c>
      <c r="F157" s="14">
        <f>IF(A157&gt;$M$3,0,DADOS!$C$18)</f>
        <v>0</v>
      </c>
      <c r="G157" s="14">
        <f>IF(A157&gt;$M$3,0,B157*DADOS!$C$19)</f>
        <v>0</v>
      </c>
      <c r="H157" s="14">
        <f t="shared" si="9"/>
        <v>0</v>
      </c>
      <c r="I157" s="14">
        <f t="shared" si="10"/>
        <v>0</v>
      </c>
      <c r="J157" s="14">
        <f t="shared" si="11"/>
        <v>0</v>
      </c>
    </row>
    <row r="158" spans="1:10" x14ac:dyDescent="0.25">
      <c r="A158" s="15">
        <v>152</v>
      </c>
      <c r="B158" s="14">
        <f>IF(A158&gt;$M$3,0,IF(A158=1,DADOS!$C$7,I157))</f>
        <v>0</v>
      </c>
      <c r="C158" s="14">
        <f>IF(A158&gt;$M$3,0,IF(DADOS!$C$11="PRICE",IF(A158&lt;=$M$4,0,MAX(0,E158-D158)),IF(DADOS!$C$11="SAC",IF(A158&lt;=$M$4,0,MIN($M$7,B158)),IF(DADOS!$C$11="AMERICANO",IF(A158=$M$3,MIN(DADOS!$C$7,B158),0),0))))</f>
        <v>0</v>
      </c>
      <c r="D158" s="14">
        <f t="shared" si="8"/>
        <v>0</v>
      </c>
      <c r="E158" s="14">
        <f>IF(A158&gt;$M$3,0,IF(DADOS!$C$11="PRICE",IF(A158&lt;=$M$4,D158,$M$6),IF(DADOS!$C$11="SAC",IF(A158&lt;=$M$4,D158,$M$7 + D158),IF(DADOS!$C$11="AMERICANO",IF(A158&lt;$M$3,D158,D158+C158),0))))</f>
        <v>0</v>
      </c>
      <c r="F158" s="14">
        <f>IF(A158&gt;$M$3,0,DADOS!$C$18)</f>
        <v>0</v>
      </c>
      <c r="G158" s="14">
        <f>IF(A158&gt;$M$3,0,B158*DADOS!$C$19)</f>
        <v>0</v>
      </c>
      <c r="H158" s="14">
        <f t="shared" si="9"/>
        <v>0</v>
      </c>
      <c r="I158" s="14">
        <f t="shared" si="10"/>
        <v>0</v>
      </c>
      <c r="J158" s="14">
        <f t="shared" si="11"/>
        <v>0</v>
      </c>
    </row>
    <row r="159" spans="1:10" x14ac:dyDescent="0.25">
      <c r="A159" s="15">
        <v>153</v>
      </c>
      <c r="B159" s="14">
        <f>IF(A159&gt;$M$3,0,IF(A159=1,DADOS!$C$7,I158))</f>
        <v>0</v>
      </c>
      <c r="C159" s="14">
        <f>IF(A159&gt;$M$3,0,IF(DADOS!$C$11="PRICE",IF(A159&lt;=$M$4,0,MAX(0,E159-D159)),IF(DADOS!$C$11="SAC",IF(A159&lt;=$M$4,0,MIN($M$7,B159)),IF(DADOS!$C$11="AMERICANO",IF(A159=$M$3,MIN(DADOS!$C$7,B159),0),0))))</f>
        <v>0</v>
      </c>
      <c r="D159" s="14">
        <f t="shared" si="8"/>
        <v>0</v>
      </c>
      <c r="E159" s="14">
        <f>IF(A159&gt;$M$3,0,IF(DADOS!$C$11="PRICE",IF(A159&lt;=$M$4,D159,$M$6),IF(DADOS!$C$11="SAC",IF(A159&lt;=$M$4,D159,$M$7 + D159),IF(DADOS!$C$11="AMERICANO",IF(A159&lt;$M$3,D159,D159+C159),0))))</f>
        <v>0</v>
      </c>
      <c r="F159" s="14">
        <f>IF(A159&gt;$M$3,0,DADOS!$C$18)</f>
        <v>0</v>
      </c>
      <c r="G159" s="14">
        <f>IF(A159&gt;$M$3,0,B159*DADOS!$C$19)</f>
        <v>0</v>
      </c>
      <c r="H159" s="14">
        <f t="shared" si="9"/>
        <v>0</v>
      </c>
      <c r="I159" s="14">
        <f t="shared" si="10"/>
        <v>0</v>
      </c>
      <c r="J159" s="14">
        <f t="shared" si="11"/>
        <v>0</v>
      </c>
    </row>
    <row r="160" spans="1:10" x14ac:dyDescent="0.25">
      <c r="A160" s="15">
        <v>154</v>
      </c>
      <c r="B160" s="14">
        <f>IF(A160&gt;$M$3,0,IF(A160=1,DADOS!$C$7,I159))</f>
        <v>0</v>
      </c>
      <c r="C160" s="14">
        <f>IF(A160&gt;$M$3,0,IF(DADOS!$C$11="PRICE",IF(A160&lt;=$M$4,0,MAX(0,E160-D160)),IF(DADOS!$C$11="SAC",IF(A160&lt;=$M$4,0,MIN($M$7,B160)),IF(DADOS!$C$11="AMERICANO",IF(A160=$M$3,MIN(DADOS!$C$7,B160),0),0))))</f>
        <v>0</v>
      </c>
      <c r="D160" s="14">
        <f t="shared" si="8"/>
        <v>0</v>
      </c>
      <c r="E160" s="14">
        <f>IF(A160&gt;$M$3,0,IF(DADOS!$C$11="PRICE",IF(A160&lt;=$M$4,D160,$M$6),IF(DADOS!$C$11="SAC",IF(A160&lt;=$M$4,D160,$M$7 + D160),IF(DADOS!$C$11="AMERICANO",IF(A160&lt;$M$3,D160,D160+C160),0))))</f>
        <v>0</v>
      </c>
      <c r="F160" s="14">
        <f>IF(A160&gt;$M$3,0,DADOS!$C$18)</f>
        <v>0</v>
      </c>
      <c r="G160" s="14">
        <f>IF(A160&gt;$M$3,0,B160*DADOS!$C$19)</f>
        <v>0</v>
      </c>
      <c r="H160" s="14">
        <f t="shared" si="9"/>
        <v>0</v>
      </c>
      <c r="I160" s="14">
        <f t="shared" si="10"/>
        <v>0</v>
      </c>
      <c r="J160" s="14">
        <f t="shared" si="11"/>
        <v>0</v>
      </c>
    </row>
    <row r="161" spans="1:10" x14ac:dyDescent="0.25">
      <c r="A161" s="15">
        <v>155</v>
      </c>
      <c r="B161" s="14">
        <f>IF(A161&gt;$M$3,0,IF(A161=1,DADOS!$C$7,I160))</f>
        <v>0</v>
      </c>
      <c r="C161" s="14">
        <f>IF(A161&gt;$M$3,0,IF(DADOS!$C$11="PRICE",IF(A161&lt;=$M$4,0,MAX(0,E161-D161)),IF(DADOS!$C$11="SAC",IF(A161&lt;=$M$4,0,MIN($M$7,B161)),IF(DADOS!$C$11="AMERICANO",IF(A161=$M$3,MIN(DADOS!$C$7,B161),0),0))))</f>
        <v>0</v>
      </c>
      <c r="D161" s="14">
        <f t="shared" si="8"/>
        <v>0</v>
      </c>
      <c r="E161" s="14">
        <f>IF(A161&gt;$M$3,0,IF(DADOS!$C$11="PRICE",IF(A161&lt;=$M$4,D161,$M$6),IF(DADOS!$C$11="SAC",IF(A161&lt;=$M$4,D161,$M$7 + D161),IF(DADOS!$C$11="AMERICANO",IF(A161&lt;$M$3,D161,D161+C161),0))))</f>
        <v>0</v>
      </c>
      <c r="F161" s="14">
        <f>IF(A161&gt;$M$3,0,DADOS!$C$18)</f>
        <v>0</v>
      </c>
      <c r="G161" s="14">
        <f>IF(A161&gt;$M$3,0,B161*DADOS!$C$19)</f>
        <v>0</v>
      </c>
      <c r="H161" s="14">
        <f t="shared" si="9"/>
        <v>0</v>
      </c>
      <c r="I161" s="14">
        <f t="shared" si="10"/>
        <v>0</v>
      </c>
      <c r="J161" s="14">
        <f t="shared" si="11"/>
        <v>0</v>
      </c>
    </row>
    <row r="162" spans="1:10" x14ac:dyDescent="0.25">
      <c r="A162" s="15">
        <v>156</v>
      </c>
      <c r="B162" s="14">
        <f>IF(A162&gt;$M$3,0,IF(A162=1,DADOS!$C$7,I161))</f>
        <v>0</v>
      </c>
      <c r="C162" s="14">
        <f>IF(A162&gt;$M$3,0,IF(DADOS!$C$11="PRICE",IF(A162&lt;=$M$4,0,MAX(0,E162-D162)),IF(DADOS!$C$11="SAC",IF(A162&lt;=$M$4,0,MIN($M$7,B162)),IF(DADOS!$C$11="AMERICANO",IF(A162=$M$3,MIN(DADOS!$C$7,B162),0),0))))</f>
        <v>0</v>
      </c>
      <c r="D162" s="14">
        <f t="shared" si="8"/>
        <v>0</v>
      </c>
      <c r="E162" s="14">
        <f>IF(A162&gt;$M$3,0,IF(DADOS!$C$11="PRICE",IF(A162&lt;=$M$4,D162,$M$6),IF(DADOS!$C$11="SAC",IF(A162&lt;=$M$4,D162,$M$7 + D162),IF(DADOS!$C$11="AMERICANO",IF(A162&lt;$M$3,D162,D162+C162),0))))</f>
        <v>0</v>
      </c>
      <c r="F162" s="14">
        <f>IF(A162&gt;$M$3,0,DADOS!$C$18)</f>
        <v>0</v>
      </c>
      <c r="G162" s="14">
        <f>IF(A162&gt;$M$3,0,B162*DADOS!$C$19)</f>
        <v>0</v>
      </c>
      <c r="H162" s="14">
        <f t="shared" si="9"/>
        <v>0</v>
      </c>
      <c r="I162" s="14">
        <f t="shared" si="10"/>
        <v>0</v>
      </c>
      <c r="J162" s="14">
        <f t="shared" si="11"/>
        <v>0</v>
      </c>
    </row>
    <row r="163" spans="1:10" x14ac:dyDescent="0.25">
      <c r="A163" s="15">
        <v>157</v>
      </c>
      <c r="B163" s="14">
        <f>IF(A163&gt;$M$3,0,IF(A163=1,DADOS!$C$7,I162))</f>
        <v>0</v>
      </c>
      <c r="C163" s="14">
        <f>IF(A163&gt;$M$3,0,IF(DADOS!$C$11="PRICE",IF(A163&lt;=$M$4,0,MAX(0,E163-D163)),IF(DADOS!$C$11="SAC",IF(A163&lt;=$M$4,0,MIN($M$7,B163)),IF(DADOS!$C$11="AMERICANO",IF(A163=$M$3,MIN(DADOS!$C$7,B163),0),0))))</f>
        <v>0</v>
      </c>
      <c r="D163" s="14">
        <f t="shared" si="8"/>
        <v>0</v>
      </c>
      <c r="E163" s="14">
        <f>IF(A163&gt;$M$3,0,IF(DADOS!$C$11="PRICE",IF(A163&lt;=$M$4,D163,$M$6),IF(DADOS!$C$11="SAC",IF(A163&lt;=$M$4,D163,$M$7 + D163),IF(DADOS!$C$11="AMERICANO",IF(A163&lt;$M$3,D163,D163+C163),0))))</f>
        <v>0</v>
      </c>
      <c r="F163" s="14">
        <f>IF(A163&gt;$M$3,0,DADOS!$C$18)</f>
        <v>0</v>
      </c>
      <c r="G163" s="14">
        <f>IF(A163&gt;$M$3,0,B163*DADOS!$C$19)</f>
        <v>0</v>
      </c>
      <c r="H163" s="14">
        <f t="shared" si="9"/>
        <v>0</v>
      </c>
      <c r="I163" s="14">
        <f t="shared" si="10"/>
        <v>0</v>
      </c>
      <c r="J163" s="14">
        <f t="shared" si="11"/>
        <v>0</v>
      </c>
    </row>
    <row r="164" spans="1:10" x14ac:dyDescent="0.25">
      <c r="A164" s="15">
        <v>158</v>
      </c>
      <c r="B164" s="14">
        <f>IF(A164&gt;$M$3,0,IF(A164=1,DADOS!$C$7,I163))</f>
        <v>0</v>
      </c>
      <c r="C164" s="14">
        <f>IF(A164&gt;$M$3,0,IF(DADOS!$C$11="PRICE",IF(A164&lt;=$M$4,0,MAX(0,E164-D164)),IF(DADOS!$C$11="SAC",IF(A164&lt;=$M$4,0,MIN($M$7,B164)),IF(DADOS!$C$11="AMERICANO",IF(A164=$M$3,MIN(DADOS!$C$7,B164),0),0))))</f>
        <v>0</v>
      </c>
      <c r="D164" s="14">
        <f t="shared" si="8"/>
        <v>0</v>
      </c>
      <c r="E164" s="14">
        <f>IF(A164&gt;$M$3,0,IF(DADOS!$C$11="PRICE",IF(A164&lt;=$M$4,D164,$M$6),IF(DADOS!$C$11="SAC",IF(A164&lt;=$M$4,D164,$M$7 + D164),IF(DADOS!$C$11="AMERICANO",IF(A164&lt;$M$3,D164,D164+C164),0))))</f>
        <v>0</v>
      </c>
      <c r="F164" s="14">
        <f>IF(A164&gt;$M$3,0,DADOS!$C$18)</f>
        <v>0</v>
      </c>
      <c r="G164" s="14">
        <f>IF(A164&gt;$M$3,0,B164*DADOS!$C$19)</f>
        <v>0</v>
      </c>
      <c r="H164" s="14">
        <f t="shared" si="9"/>
        <v>0</v>
      </c>
      <c r="I164" s="14">
        <f t="shared" si="10"/>
        <v>0</v>
      </c>
      <c r="J164" s="14">
        <f t="shared" si="11"/>
        <v>0</v>
      </c>
    </row>
    <row r="165" spans="1:10" x14ac:dyDescent="0.25">
      <c r="A165" s="15">
        <v>159</v>
      </c>
      <c r="B165" s="14">
        <f>IF(A165&gt;$M$3,0,IF(A165=1,DADOS!$C$7,I164))</f>
        <v>0</v>
      </c>
      <c r="C165" s="14">
        <f>IF(A165&gt;$M$3,0,IF(DADOS!$C$11="PRICE",IF(A165&lt;=$M$4,0,MAX(0,E165-D165)),IF(DADOS!$C$11="SAC",IF(A165&lt;=$M$4,0,MIN($M$7,B165)),IF(DADOS!$C$11="AMERICANO",IF(A165=$M$3,MIN(DADOS!$C$7,B165),0),0))))</f>
        <v>0</v>
      </c>
      <c r="D165" s="14">
        <f t="shared" si="8"/>
        <v>0</v>
      </c>
      <c r="E165" s="14">
        <f>IF(A165&gt;$M$3,0,IF(DADOS!$C$11="PRICE",IF(A165&lt;=$M$4,D165,$M$6),IF(DADOS!$C$11="SAC",IF(A165&lt;=$M$4,D165,$M$7 + D165),IF(DADOS!$C$11="AMERICANO",IF(A165&lt;$M$3,D165,D165+C165),0))))</f>
        <v>0</v>
      </c>
      <c r="F165" s="14">
        <f>IF(A165&gt;$M$3,0,DADOS!$C$18)</f>
        <v>0</v>
      </c>
      <c r="G165" s="14">
        <f>IF(A165&gt;$M$3,0,B165*DADOS!$C$19)</f>
        <v>0</v>
      </c>
      <c r="H165" s="14">
        <f t="shared" si="9"/>
        <v>0</v>
      </c>
      <c r="I165" s="14">
        <f t="shared" si="10"/>
        <v>0</v>
      </c>
      <c r="J165" s="14">
        <f t="shared" si="11"/>
        <v>0</v>
      </c>
    </row>
    <row r="166" spans="1:10" x14ac:dyDescent="0.25">
      <c r="A166" s="15">
        <v>160</v>
      </c>
      <c r="B166" s="14">
        <f>IF(A166&gt;$M$3,0,IF(A166=1,DADOS!$C$7,I165))</f>
        <v>0</v>
      </c>
      <c r="C166" s="14">
        <f>IF(A166&gt;$M$3,0,IF(DADOS!$C$11="PRICE",IF(A166&lt;=$M$4,0,MAX(0,E166-D166)),IF(DADOS!$C$11="SAC",IF(A166&lt;=$M$4,0,MIN($M$7,B166)),IF(DADOS!$C$11="AMERICANO",IF(A166=$M$3,MIN(DADOS!$C$7,B166),0),0))))</f>
        <v>0</v>
      </c>
      <c r="D166" s="14">
        <f t="shared" si="8"/>
        <v>0</v>
      </c>
      <c r="E166" s="14">
        <f>IF(A166&gt;$M$3,0,IF(DADOS!$C$11="PRICE",IF(A166&lt;=$M$4,D166,$M$6),IF(DADOS!$C$11="SAC",IF(A166&lt;=$M$4,D166,$M$7 + D166),IF(DADOS!$C$11="AMERICANO",IF(A166&lt;$M$3,D166,D166+C166),0))))</f>
        <v>0</v>
      </c>
      <c r="F166" s="14">
        <f>IF(A166&gt;$M$3,0,DADOS!$C$18)</f>
        <v>0</v>
      </c>
      <c r="G166" s="14">
        <f>IF(A166&gt;$M$3,0,B166*DADOS!$C$19)</f>
        <v>0</v>
      </c>
      <c r="H166" s="14">
        <f t="shared" si="9"/>
        <v>0</v>
      </c>
      <c r="I166" s="14">
        <f t="shared" si="10"/>
        <v>0</v>
      </c>
      <c r="J166" s="14">
        <f t="shared" si="11"/>
        <v>0</v>
      </c>
    </row>
    <row r="167" spans="1:10" x14ac:dyDescent="0.25">
      <c r="A167" s="15">
        <v>161</v>
      </c>
      <c r="B167" s="14">
        <f>IF(A167&gt;$M$3,0,IF(A167=1,DADOS!$C$7,I166))</f>
        <v>0</v>
      </c>
      <c r="C167" s="14">
        <f>IF(A167&gt;$M$3,0,IF(DADOS!$C$11="PRICE",IF(A167&lt;=$M$4,0,MAX(0,E167-D167)),IF(DADOS!$C$11="SAC",IF(A167&lt;=$M$4,0,MIN($M$7,B167)),IF(DADOS!$C$11="AMERICANO",IF(A167=$M$3,MIN(DADOS!$C$7,B167),0),0))))</f>
        <v>0</v>
      </c>
      <c r="D167" s="14">
        <f t="shared" si="8"/>
        <v>0</v>
      </c>
      <c r="E167" s="14">
        <f>IF(A167&gt;$M$3,0,IF(DADOS!$C$11="PRICE",IF(A167&lt;=$M$4,D167,$M$6),IF(DADOS!$C$11="SAC",IF(A167&lt;=$M$4,D167,$M$7 + D167),IF(DADOS!$C$11="AMERICANO",IF(A167&lt;$M$3,D167,D167+C167),0))))</f>
        <v>0</v>
      </c>
      <c r="F167" s="14">
        <f>IF(A167&gt;$M$3,0,DADOS!$C$18)</f>
        <v>0</v>
      </c>
      <c r="G167" s="14">
        <f>IF(A167&gt;$M$3,0,B167*DADOS!$C$19)</f>
        <v>0</v>
      </c>
      <c r="H167" s="14">
        <f t="shared" si="9"/>
        <v>0</v>
      </c>
      <c r="I167" s="14">
        <f t="shared" si="10"/>
        <v>0</v>
      </c>
      <c r="J167" s="14">
        <f t="shared" si="11"/>
        <v>0</v>
      </c>
    </row>
    <row r="168" spans="1:10" x14ac:dyDescent="0.25">
      <c r="A168" s="15">
        <v>162</v>
      </c>
      <c r="B168" s="14">
        <f>IF(A168&gt;$M$3,0,IF(A168=1,DADOS!$C$7,I167))</f>
        <v>0</v>
      </c>
      <c r="C168" s="14">
        <f>IF(A168&gt;$M$3,0,IF(DADOS!$C$11="PRICE",IF(A168&lt;=$M$4,0,MAX(0,E168-D168)),IF(DADOS!$C$11="SAC",IF(A168&lt;=$M$4,0,MIN($M$7,B168)),IF(DADOS!$C$11="AMERICANO",IF(A168=$M$3,MIN(DADOS!$C$7,B168),0),0))))</f>
        <v>0</v>
      </c>
      <c r="D168" s="14">
        <f t="shared" si="8"/>
        <v>0</v>
      </c>
      <c r="E168" s="14">
        <f>IF(A168&gt;$M$3,0,IF(DADOS!$C$11="PRICE",IF(A168&lt;=$M$4,D168,$M$6),IF(DADOS!$C$11="SAC",IF(A168&lt;=$M$4,D168,$M$7 + D168),IF(DADOS!$C$11="AMERICANO",IF(A168&lt;$M$3,D168,D168+C168),0))))</f>
        <v>0</v>
      </c>
      <c r="F168" s="14">
        <f>IF(A168&gt;$M$3,0,DADOS!$C$18)</f>
        <v>0</v>
      </c>
      <c r="G168" s="14">
        <f>IF(A168&gt;$M$3,0,B168*DADOS!$C$19)</f>
        <v>0</v>
      </c>
      <c r="H168" s="14">
        <f t="shared" si="9"/>
        <v>0</v>
      </c>
      <c r="I168" s="14">
        <f t="shared" si="10"/>
        <v>0</v>
      </c>
      <c r="J168" s="14">
        <f t="shared" si="11"/>
        <v>0</v>
      </c>
    </row>
    <row r="169" spans="1:10" x14ac:dyDescent="0.25">
      <c r="A169" s="15">
        <v>163</v>
      </c>
      <c r="B169" s="14">
        <f>IF(A169&gt;$M$3,0,IF(A169=1,DADOS!$C$7,I168))</f>
        <v>0</v>
      </c>
      <c r="C169" s="14">
        <f>IF(A169&gt;$M$3,0,IF(DADOS!$C$11="PRICE",IF(A169&lt;=$M$4,0,MAX(0,E169-D169)),IF(DADOS!$C$11="SAC",IF(A169&lt;=$M$4,0,MIN($M$7,B169)),IF(DADOS!$C$11="AMERICANO",IF(A169=$M$3,MIN(DADOS!$C$7,B169),0),0))))</f>
        <v>0</v>
      </c>
      <c r="D169" s="14">
        <f t="shared" si="8"/>
        <v>0</v>
      </c>
      <c r="E169" s="14">
        <f>IF(A169&gt;$M$3,0,IF(DADOS!$C$11="PRICE",IF(A169&lt;=$M$4,D169,$M$6),IF(DADOS!$C$11="SAC",IF(A169&lt;=$M$4,D169,$M$7 + D169),IF(DADOS!$C$11="AMERICANO",IF(A169&lt;$M$3,D169,D169+C169),0))))</f>
        <v>0</v>
      </c>
      <c r="F169" s="14">
        <f>IF(A169&gt;$M$3,0,DADOS!$C$18)</f>
        <v>0</v>
      </c>
      <c r="G169" s="14">
        <f>IF(A169&gt;$M$3,0,B169*DADOS!$C$19)</f>
        <v>0</v>
      </c>
      <c r="H169" s="14">
        <f t="shared" si="9"/>
        <v>0</v>
      </c>
      <c r="I169" s="14">
        <f t="shared" si="10"/>
        <v>0</v>
      </c>
      <c r="J169" s="14">
        <f t="shared" si="11"/>
        <v>0</v>
      </c>
    </row>
    <row r="170" spans="1:10" x14ac:dyDescent="0.25">
      <c r="A170" s="15">
        <v>164</v>
      </c>
      <c r="B170" s="14">
        <f>IF(A170&gt;$M$3,0,IF(A170=1,DADOS!$C$7,I169))</f>
        <v>0</v>
      </c>
      <c r="C170" s="14">
        <f>IF(A170&gt;$M$3,0,IF(DADOS!$C$11="PRICE",IF(A170&lt;=$M$4,0,MAX(0,E170-D170)),IF(DADOS!$C$11="SAC",IF(A170&lt;=$M$4,0,MIN($M$7,B170)),IF(DADOS!$C$11="AMERICANO",IF(A170=$M$3,MIN(DADOS!$C$7,B170),0),0))))</f>
        <v>0</v>
      </c>
      <c r="D170" s="14">
        <f t="shared" si="8"/>
        <v>0</v>
      </c>
      <c r="E170" s="14">
        <f>IF(A170&gt;$M$3,0,IF(DADOS!$C$11="PRICE",IF(A170&lt;=$M$4,D170,$M$6),IF(DADOS!$C$11="SAC",IF(A170&lt;=$M$4,D170,$M$7 + D170),IF(DADOS!$C$11="AMERICANO",IF(A170&lt;$M$3,D170,D170+C170),0))))</f>
        <v>0</v>
      </c>
      <c r="F170" s="14">
        <f>IF(A170&gt;$M$3,0,DADOS!$C$18)</f>
        <v>0</v>
      </c>
      <c r="G170" s="14">
        <f>IF(A170&gt;$M$3,0,B170*DADOS!$C$19)</f>
        <v>0</v>
      </c>
      <c r="H170" s="14">
        <f t="shared" si="9"/>
        <v>0</v>
      </c>
      <c r="I170" s="14">
        <f t="shared" si="10"/>
        <v>0</v>
      </c>
      <c r="J170" s="14">
        <f t="shared" si="11"/>
        <v>0</v>
      </c>
    </row>
    <row r="171" spans="1:10" x14ac:dyDescent="0.25">
      <c r="A171" s="15">
        <v>165</v>
      </c>
      <c r="B171" s="14">
        <f>IF(A171&gt;$M$3,0,IF(A171=1,DADOS!$C$7,I170))</f>
        <v>0</v>
      </c>
      <c r="C171" s="14">
        <f>IF(A171&gt;$M$3,0,IF(DADOS!$C$11="PRICE",IF(A171&lt;=$M$4,0,MAX(0,E171-D171)),IF(DADOS!$C$11="SAC",IF(A171&lt;=$M$4,0,MIN($M$7,B171)),IF(DADOS!$C$11="AMERICANO",IF(A171=$M$3,MIN(DADOS!$C$7,B171),0),0))))</f>
        <v>0</v>
      </c>
      <c r="D171" s="14">
        <f t="shared" si="8"/>
        <v>0</v>
      </c>
      <c r="E171" s="14">
        <f>IF(A171&gt;$M$3,0,IF(DADOS!$C$11="PRICE",IF(A171&lt;=$M$4,D171,$M$6),IF(DADOS!$C$11="SAC",IF(A171&lt;=$M$4,D171,$M$7 + D171),IF(DADOS!$C$11="AMERICANO",IF(A171&lt;$M$3,D171,D171+C171),0))))</f>
        <v>0</v>
      </c>
      <c r="F171" s="14">
        <f>IF(A171&gt;$M$3,0,DADOS!$C$18)</f>
        <v>0</v>
      </c>
      <c r="G171" s="14">
        <f>IF(A171&gt;$M$3,0,B171*DADOS!$C$19)</f>
        <v>0</v>
      </c>
      <c r="H171" s="14">
        <f t="shared" si="9"/>
        <v>0</v>
      </c>
      <c r="I171" s="14">
        <f t="shared" si="10"/>
        <v>0</v>
      </c>
      <c r="J171" s="14">
        <f t="shared" si="11"/>
        <v>0</v>
      </c>
    </row>
    <row r="172" spans="1:10" x14ac:dyDescent="0.25">
      <c r="A172" s="15">
        <v>166</v>
      </c>
      <c r="B172" s="14">
        <f>IF(A172&gt;$M$3,0,IF(A172=1,DADOS!$C$7,I171))</f>
        <v>0</v>
      </c>
      <c r="C172" s="14">
        <f>IF(A172&gt;$M$3,0,IF(DADOS!$C$11="PRICE",IF(A172&lt;=$M$4,0,MAX(0,E172-D172)),IF(DADOS!$C$11="SAC",IF(A172&lt;=$M$4,0,MIN($M$7,B172)),IF(DADOS!$C$11="AMERICANO",IF(A172=$M$3,MIN(DADOS!$C$7,B172),0),0))))</f>
        <v>0</v>
      </c>
      <c r="D172" s="14">
        <f t="shared" si="8"/>
        <v>0</v>
      </c>
      <c r="E172" s="14">
        <f>IF(A172&gt;$M$3,0,IF(DADOS!$C$11="PRICE",IF(A172&lt;=$M$4,D172,$M$6),IF(DADOS!$C$11="SAC",IF(A172&lt;=$M$4,D172,$M$7 + D172),IF(DADOS!$C$11="AMERICANO",IF(A172&lt;$M$3,D172,D172+C172),0))))</f>
        <v>0</v>
      </c>
      <c r="F172" s="14">
        <f>IF(A172&gt;$M$3,0,DADOS!$C$18)</f>
        <v>0</v>
      </c>
      <c r="G172" s="14">
        <f>IF(A172&gt;$M$3,0,B172*DADOS!$C$19)</f>
        <v>0</v>
      </c>
      <c r="H172" s="14">
        <f t="shared" si="9"/>
        <v>0</v>
      </c>
      <c r="I172" s="14">
        <f t="shared" si="10"/>
        <v>0</v>
      </c>
      <c r="J172" s="14">
        <f t="shared" si="11"/>
        <v>0</v>
      </c>
    </row>
    <row r="173" spans="1:10" x14ac:dyDescent="0.25">
      <c r="A173" s="15">
        <v>167</v>
      </c>
      <c r="B173" s="14">
        <f>IF(A173&gt;$M$3,0,IF(A173=1,DADOS!$C$7,I172))</f>
        <v>0</v>
      </c>
      <c r="C173" s="14">
        <f>IF(A173&gt;$M$3,0,IF(DADOS!$C$11="PRICE",IF(A173&lt;=$M$4,0,MAX(0,E173-D173)),IF(DADOS!$C$11="SAC",IF(A173&lt;=$M$4,0,MIN($M$7,B173)),IF(DADOS!$C$11="AMERICANO",IF(A173=$M$3,MIN(DADOS!$C$7,B173),0),0))))</f>
        <v>0</v>
      </c>
      <c r="D173" s="14">
        <f t="shared" si="8"/>
        <v>0</v>
      </c>
      <c r="E173" s="14">
        <f>IF(A173&gt;$M$3,0,IF(DADOS!$C$11="PRICE",IF(A173&lt;=$M$4,D173,$M$6),IF(DADOS!$C$11="SAC",IF(A173&lt;=$M$4,D173,$M$7 + D173),IF(DADOS!$C$11="AMERICANO",IF(A173&lt;$M$3,D173,D173+C173),0))))</f>
        <v>0</v>
      </c>
      <c r="F173" s="14">
        <f>IF(A173&gt;$M$3,0,DADOS!$C$18)</f>
        <v>0</v>
      </c>
      <c r="G173" s="14">
        <f>IF(A173&gt;$M$3,0,B173*DADOS!$C$19)</f>
        <v>0</v>
      </c>
      <c r="H173" s="14">
        <f t="shared" si="9"/>
        <v>0</v>
      </c>
      <c r="I173" s="14">
        <f t="shared" si="10"/>
        <v>0</v>
      </c>
      <c r="J173" s="14">
        <f t="shared" si="11"/>
        <v>0</v>
      </c>
    </row>
    <row r="174" spans="1:10" x14ac:dyDescent="0.25">
      <c r="A174" s="15">
        <v>168</v>
      </c>
      <c r="B174" s="14">
        <f>IF(A174&gt;$M$3,0,IF(A174=1,DADOS!$C$7,I173))</f>
        <v>0</v>
      </c>
      <c r="C174" s="14">
        <f>IF(A174&gt;$M$3,0,IF(DADOS!$C$11="PRICE",IF(A174&lt;=$M$4,0,MAX(0,E174-D174)),IF(DADOS!$C$11="SAC",IF(A174&lt;=$M$4,0,MIN($M$7,B174)),IF(DADOS!$C$11="AMERICANO",IF(A174=$M$3,MIN(DADOS!$C$7,B174),0),0))))</f>
        <v>0</v>
      </c>
      <c r="D174" s="14">
        <f t="shared" si="8"/>
        <v>0</v>
      </c>
      <c r="E174" s="14">
        <f>IF(A174&gt;$M$3,0,IF(DADOS!$C$11="PRICE",IF(A174&lt;=$M$4,D174,$M$6),IF(DADOS!$C$11="SAC",IF(A174&lt;=$M$4,D174,$M$7 + D174),IF(DADOS!$C$11="AMERICANO",IF(A174&lt;$M$3,D174,D174+C174),0))))</f>
        <v>0</v>
      </c>
      <c r="F174" s="14">
        <f>IF(A174&gt;$M$3,0,DADOS!$C$18)</f>
        <v>0</v>
      </c>
      <c r="G174" s="14">
        <f>IF(A174&gt;$M$3,0,B174*DADOS!$C$19)</f>
        <v>0</v>
      </c>
      <c r="H174" s="14">
        <f t="shared" si="9"/>
        <v>0</v>
      </c>
      <c r="I174" s="14">
        <f t="shared" si="10"/>
        <v>0</v>
      </c>
      <c r="J174" s="14">
        <f t="shared" si="11"/>
        <v>0</v>
      </c>
    </row>
    <row r="175" spans="1:10" x14ac:dyDescent="0.25">
      <c r="A175" s="15">
        <v>169</v>
      </c>
      <c r="B175" s="14">
        <f>IF(A175&gt;$M$3,0,IF(A175=1,DADOS!$C$7,I174))</f>
        <v>0</v>
      </c>
      <c r="C175" s="14">
        <f>IF(A175&gt;$M$3,0,IF(DADOS!$C$11="PRICE",IF(A175&lt;=$M$4,0,MAX(0,E175-D175)),IF(DADOS!$C$11="SAC",IF(A175&lt;=$M$4,0,MIN($M$7,B175)),IF(DADOS!$C$11="AMERICANO",IF(A175=$M$3,MIN(DADOS!$C$7,B175),0),0))))</f>
        <v>0</v>
      </c>
      <c r="D175" s="14">
        <f t="shared" si="8"/>
        <v>0</v>
      </c>
      <c r="E175" s="14">
        <f>IF(A175&gt;$M$3,0,IF(DADOS!$C$11="PRICE",IF(A175&lt;=$M$4,D175,$M$6),IF(DADOS!$C$11="SAC",IF(A175&lt;=$M$4,D175,$M$7 + D175),IF(DADOS!$C$11="AMERICANO",IF(A175&lt;$M$3,D175,D175+C175),0))))</f>
        <v>0</v>
      </c>
      <c r="F175" s="14">
        <f>IF(A175&gt;$M$3,0,DADOS!$C$18)</f>
        <v>0</v>
      </c>
      <c r="G175" s="14">
        <f>IF(A175&gt;$M$3,0,B175*DADOS!$C$19)</f>
        <v>0</v>
      </c>
      <c r="H175" s="14">
        <f t="shared" si="9"/>
        <v>0</v>
      </c>
      <c r="I175" s="14">
        <f t="shared" si="10"/>
        <v>0</v>
      </c>
      <c r="J175" s="14">
        <f t="shared" si="11"/>
        <v>0</v>
      </c>
    </row>
    <row r="176" spans="1:10" x14ac:dyDescent="0.25">
      <c r="A176" s="15">
        <v>170</v>
      </c>
      <c r="B176" s="14">
        <f>IF(A176&gt;$M$3,0,IF(A176=1,DADOS!$C$7,I175))</f>
        <v>0</v>
      </c>
      <c r="C176" s="14">
        <f>IF(A176&gt;$M$3,0,IF(DADOS!$C$11="PRICE",IF(A176&lt;=$M$4,0,MAX(0,E176-D176)),IF(DADOS!$C$11="SAC",IF(A176&lt;=$M$4,0,MIN($M$7,B176)),IF(DADOS!$C$11="AMERICANO",IF(A176=$M$3,MIN(DADOS!$C$7,B176),0),0))))</f>
        <v>0</v>
      </c>
      <c r="D176" s="14">
        <f t="shared" si="8"/>
        <v>0</v>
      </c>
      <c r="E176" s="14">
        <f>IF(A176&gt;$M$3,0,IF(DADOS!$C$11="PRICE",IF(A176&lt;=$M$4,D176,$M$6),IF(DADOS!$C$11="SAC",IF(A176&lt;=$M$4,D176,$M$7 + D176),IF(DADOS!$C$11="AMERICANO",IF(A176&lt;$M$3,D176,D176+C176),0))))</f>
        <v>0</v>
      </c>
      <c r="F176" s="14">
        <f>IF(A176&gt;$M$3,0,DADOS!$C$18)</f>
        <v>0</v>
      </c>
      <c r="G176" s="14">
        <f>IF(A176&gt;$M$3,0,B176*DADOS!$C$19)</f>
        <v>0</v>
      </c>
      <c r="H176" s="14">
        <f t="shared" si="9"/>
        <v>0</v>
      </c>
      <c r="I176" s="14">
        <f t="shared" si="10"/>
        <v>0</v>
      </c>
      <c r="J176" s="14">
        <f t="shared" si="11"/>
        <v>0</v>
      </c>
    </row>
    <row r="177" spans="1:10" x14ac:dyDescent="0.25">
      <c r="A177" s="15">
        <v>171</v>
      </c>
      <c r="B177" s="14">
        <f>IF(A177&gt;$M$3,0,IF(A177=1,DADOS!$C$7,I176))</f>
        <v>0</v>
      </c>
      <c r="C177" s="14">
        <f>IF(A177&gt;$M$3,0,IF(DADOS!$C$11="PRICE",IF(A177&lt;=$M$4,0,MAX(0,E177-D177)),IF(DADOS!$C$11="SAC",IF(A177&lt;=$M$4,0,MIN($M$7,B177)),IF(DADOS!$C$11="AMERICANO",IF(A177=$M$3,MIN(DADOS!$C$7,B177),0),0))))</f>
        <v>0</v>
      </c>
      <c r="D177" s="14">
        <f t="shared" si="8"/>
        <v>0</v>
      </c>
      <c r="E177" s="14">
        <f>IF(A177&gt;$M$3,0,IF(DADOS!$C$11="PRICE",IF(A177&lt;=$M$4,D177,$M$6),IF(DADOS!$C$11="SAC",IF(A177&lt;=$M$4,D177,$M$7 + D177),IF(DADOS!$C$11="AMERICANO",IF(A177&lt;$M$3,D177,D177+C177),0))))</f>
        <v>0</v>
      </c>
      <c r="F177" s="14">
        <f>IF(A177&gt;$M$3,0,DADOS!$C$18)</f>
        <v>0</v>
      </c>
      <c r="G177" s="14">
        <f>IF(A177&gt;$M$3,0,B177*DADOS!$C$19)</f>
        <v>0</v>
      </c>
      <c r="H177" s="14">
        <f t="shared" si="9"/>
        <v>0</v>
      </c>
      <c r="I177" s="14">
        <f t="shared" si="10"/>
        <v>0</v>
      </c>
      <c r="J177" s="14">
        <f t="shared" si="11"/>
        <v>0</v>
      </c>
    </row>
    <row r="178" spans="1:10" x14ac:dyDescent="0.25">
      <c r="A178" s="15">
        <v>172</v>
      </c>
      <c r="B178" s="14">
        <f>IF(A178&gt;$M$3,0,IF(A178=1,DADOS!$C$7,I177))</f>
        <v>0</v>
      </c>
      <c r="C178" s="14">
        <f>IF(A178&gt;$M$3,0,IF(DADOS!$C$11="PRICE",IF(A178&lt;=$M$4,0,MAX(0,E178-D178)),IF(DADOS!$C$11="SAC",IF(A178&lt;=$M$4,0,MIN($M$7,B178)),IF(DADOS!$C$11="AMERICANO",IF(A178=$M$3,MIN(DADOS!$C$7,B178),0),0))))</f>
        <v>0</v>
      </c>
      <c r="D178" s="14">
        <f t="shared" si="8"/>
        <v>0</v>
      </c>
      <c r="E178" s="14">
        <f>IF(A178&gt;$M$3,0,IF(DADOS!$C$11="PRICE",IF(A178&lt;=$M$4,D178,$M$6),IF(DADOS!$C$11="SAC",IF(A178&lt;=$M$4,D178,$M$7 + D178),IF(DADOS!$C$11="AMERICANO",IF(A178&lt;$M$3,D178,D178+C178),0))))</f>
        <v>0</v>
      </c>
      <c r="F178" s="14">
        <f>IF(A178&gt;$M$3,0,DADOS!$C$18)</f>
        <v>0</v>
      </c>
      <c r="G178" s="14">
        <f>IF(A178&gt;$M$3,0,B178*DADOS!$C$19)</f>
        <v>0</v>
      </c>
      <c r="H178" s="14">
        <f t="shared" si="9"/>
        <v>0</v>
      </c>
      <c r="I178" s="14">
        <f t="shared" si="10"/>
        <v>0</v>
      </c>
      <c r="J178" s="14">
        <f t="shared" si="11"/>
        <v>0</v>
      </c>
    </row>
    <row r="179" spans="1:10" x14ac:dyDescent="0.25">
      <c r="A179" s="15">
        <v>173</v>
      </c>
      <c r="B179" s="14">
        <f>IF(A179&gt;$M$3,0,IF(A179=1,DADOS!$C$7,I178))</f>
        <v>0</v>
      </c>
      <c r="C179" s="14">
        <f>IF(A179&gt;$M$3,0,IF(DADOS!$C$11="PRICE",IF(A179&lt;=$M$4,0,MAX(0,E179-D179)),IF(DADOS!$C$11="SAC",IF(A179&lt;=$M$4,0,MIN($M$7,B179)),IF(DADOS!$C$11="AMERICANO",IF(A179=$M$3,MIN(DADOS!$C$7,B179),0),0))))</f>
        <v>0</v>
      </c>
      <c r="D179" s="14">
        <f t="shared" si="8"/>
        <v>0</v>
      </c>
      <c r="E179" s="14">
        <f>IF(A179&gt;$M$3,0,IF(DADOS!$C$11="PRICE",IF(A179&lt;=$M$4,D179,$M$6),IF(DADOS!$C$11="SAC",IF(A179&lt;=$M$4,D179,$M$7 + D179),IF(DADOS!$C$11="AMERICANO",IF(A179&lt;$M$3,D179,D179+C179),0))))</f>
        <v>0</v>
      </c>
      <c r="F179" s="14">
        <f>IF(A179&gt;$M$3,0,DADOS!$C$18)</f>
        <v>0</v>
      </c>
      <c r="G179" s="14">
        <f>IF(A179&gt;$M$3,0,B179*DADOS!$C$19)</f>
        <v>0</v>
      </c>
      <c r="H179" s="14">
        <f t="shared" si="9"/>
        <v>0</v>
      </c>
      <c r="I179" s="14">
        <f t="shared" si="10"/>
        <v>0</v>
      </c>
      <c r="J179" s="14">
        <f t="shared" si="11"/>
        <v>0</v>
      </c>
    </row>
    <row r="180" spans="1:10" x14ac:dyDescent="0.25">
      <c r="A180" s="15">
        <v>174</v>
      </c>
      <c r="B180" s="14">
        <f>IF(A180&gt;$M$3,0,IF(A180=1,DADOS!$C$7,I179))</f>
        <v>0</v>
      </c>
      <c r="C180" s="14">
        <f>IF(A180&gt;$M$3,0,IF(DADOS!$C$11="PRICE",IF(A180&lt;=$M$4,0,MAX(0,E180-D180)),IF(DADOS!$C$11="SAC",IF(A180&lt;=$M$4,0,MIN($M$7,B180)),IF(DADOS!$C$11="AMERICANO",IF(A180=$M$3,MIN(DADOS!$C$7,B180),0),0))))</f>
        <v>0</v>
      </c>
      <c r="D180" s="14">
        <f t="shared" si="8"/>
        <v>0</v>
      </c>
      <c r="E180" s="14">
        <f>IF(A180&gt;$M$3,0,IF(DADOS!$C$11="PRICE",IF(A180&lt;=$M$4,D180,$M$6),IF(DADOS!$C$11="SAC",IF(A180&lt;=$M$4,D180,$M$7 + D180),IF(DADOS!$C$11="AMERICANO",IF(A180&lt;$M$3,D180,D180+C180),0))))</f>
        <v>0</v>
      </c>
      <c r="F180" s="14">
        <f>IF(A180&gt;$M$3,0,DADOS!$C$18)</f>
        <v>0</v>
      </c>
      <c r="G180" s="14">
        <f>IF(A180&gt;$M$3,0,B180*DADOS!$C$19)</f>
        <v>0</v>
      </c>
      <c r="H180" s="14">
        <f t="shared" si="9"/>
        <v>0</v>
      </c>
      <c r="I180" s="14">
        <f t="shared" si="10"/>
        <v>0</v>
      </c>
      <c r="J180" s="14">
        <f t="shared" si="11"/>
        <v>0</v>
      </c>
    </row>
    <row r="181" spans="1:10" x14ac:dyDescent="0.25">
      <c r="A181" s="15">
        <v>175</v>
      </c>
      <c r="B181" s="14">
        <f>IF(A181&gt;$M$3,0,IF(A181=1,DADOS!$C$7,I180))</f>
        <v>0</v>
      </c>
      <c r="C181" s="14">
        <f>IF(A181&gt;$M$3,0,IF(DADOS!$C$11="PRICE",IF(A181&lt;=$M$4,0,MAX(0,E181-D181)),IF(DADOS!$C$11="SAC",IF(A181&lt;=$M$4,0,MIN($M$7,B181)),IF(DADOS!$C$11="AMERICANO",IF(A181=$M$3,MIN(DADOS!$C$7,B181),0),0))))</f>
        <v>0</v>
      </c>
      <c r="D181" s="14">
        <f t="shared" si="8"/>
        <v>0</v>
      </c>
      <c r="E181" s="14">
        <f>IF(A181&gt;$M$3,0,IF(DADOS!$C$11="PRICE",IF(A181&lt;=$M$4,D181,$M$6),IF(DADOS!$C$11="SAC",IF(A181&lt;=$M$4,D181,$M$7 + D181),IF(DADOS!$C$11="AMERICANO",IF(A181&lt;$M$3,D181,D181+C181),0))))</f>
        <v>0</v>
      </c>
      <c r="F181" s="14">
        <f>IF(A181&gt;$M$3,0,DADOS!$C$18)</f>
        <v>0</v>
      </c>
      <c r="G181" s="14">
        <f>IF(A181&gt;$M$3,0,B181*DADOS!$C$19)</f>
        <v>0</v>
      </c>
      <c r="H181" s="14">
        <f t="shared" si="9"/>
        <v>0</v>
      </c>
      <c r="I181" s="14">
        <f t="shared" si="10"/>
        <v>0</v>
      </c>
      <c r="J181" s="14">
        <f t="shared" si="11"/>
        <v>0</v>
      </c>
    </row>
    <row r="182" spans="1:10" x14ac:dyDescent="0.25">
      <c r="A182" s="15">
        <v>176</v>
      </c>
      <c r="B182" s="14">
        <f>IF(A182&gt;$M$3,0,IF(A182=1,DADOS!$C$7,I181))</f>
        <v>0</v>
      </c>
      <c r="C182" s="14">
        <f>IF(A182&gt;$M$3,0,IF(DADOS!$C$11="PRICE",IF(A182&lt;=$M$4,0,MAX(0,E182-D182)),IF(DADOS!$C$11="SAC",IF(A182&lt;=$M$4,0,MIN($M$7,B182)),IF(DADOS!$C$11="AMERICANO",IF(A182=$M$3,MIN(DADOS!$C$7,B182),0),0))))</f>
        <v>0</v>
      </c>
      <c r="D182" s="14">
        <f t="shared" si="8"/>
        <v>0</v>
      </c>
      <c r="E182" s="14">
        <f>IF(A182&gt;$M$3,0,IF(DADOS!$C$11="PRICE",IF(A182&lt;=$M$4,D182,$M$6),IF(DADOS!$C$11="SAC",IF(A182&lt;=$M$4,D182,$M$7 + D182),IF(DADOS!$C$11="AMERICANO",IF(A182&lt;$M$3,D182,D182+C182),0))))</f>
        <v>0</v>
      </c>
      <c r="F182" s="14">
        <f>IF(A182&gt;$M$3,0,DADOS!$C$18)</f>
        <v>0</v>
      </c>
      <c r="G182" s="14">
        <f>IF(A182&gt;$M$3,0,B182*DADOS!$C$19)</f>
        <v>0</v>
      </c>
      <c r="H182" s="14">
        <f t="shared" si="9"/>
        <v>0</v>
      </c>
      <c r="I182" s="14">
        <f t="shared" si="10"/>
        <v>0</v>
      </c>
      <c r="J182" s="14">
        <f t="shared" si="11"/>
        <v>0</v>
      </c>
    </row>
    <row r="183" spans="1:10" x14ac:dyDescent="0.25">
      <c r="A183" s="15">
        <v>177</v>
      </c>
      <c r="B183" s="14">
        <f>IF(A183&gt;$M$3,0,IF(A183=1,DADOS!$C$7,I182))</f>
        <v>0</v>
      </c>
      <c r="C183" s="14">
        <f>IF(A183&gt;$M$3,0,IF(DADOS!$C$11="PRICE",IF(A183&lt;=$M$4,0,MAX(0,E183-D183)),IF(DADOS!$C$11="SAC",IF(A183&lt;=$M$4,0,MIN($M$7,B183)),IF(DADOS!$C$11="AMERICANO",IF(A183=$M$3,MIN(DADOS!$C$7,B183),0),0))))</f>
        <v>0</v>
      </c>
      <c r="D183" s="14">
        <f t="shared" si="8"/>
        <v>0</v>
      </c>
      <c r="E183" s="14">
        <f>IF(A183&gt;$M$3,0,IF(DADOS!$C$11="PRICE",IF(A183&lt;=$M$4,D183,$M$6),IF(DADOS!$C$11="SAC",IF(A183&lt;=$M$4,D183,$M$7 + D183),IF(DADOS!$C$11="AMERICANO",IF(A183&lt;$M$3,D183,D183+C183),0))))</f>
        <v>0</v>
      </c>
      <c r="F183" s="14">
        <f>IF(A183&gt;$M$3,0,DADOS!$C$18)</f>
        <v>0</v>
      </c>
      <c r="G183" s="14">
        <f>IF(A183&gt;$M$3,0,B183*DADOS!$C$19)</f>
        <v>0</v>
      </c>
      <c r="H183" s="14">
        <f t="shared" si="9"/>
        <v>0</v>
      </c>
      <c r="I183" s="14">
        <f t="shared" si="10"/>
        <v>0</v>
      </c>
      <c r="J183" s="14">
        <f t="shared" si="11"/>
        <v>0</v>
      </c>
    </row>
    <row r="184" spans="1:10" x14ac:dyDescent="0.25">
      <c r="A184" s="15">
        <v>178</v>
      </c>
      <c r="B184" s="14">
        <f>IF(A184&gt;$M$3,0,IF(A184=1,DADOS!$C$7,I183))</f>
        <v>0</v>
      </c>
      <c r="C184" s="14">
        <f>IF(A184&gt;$M$3,0,IF(DADOS!$C$11="PRICE",IF(A184&lt;=$M$4,0,MAX(0,E184-D184)),IF(DADOS!$C$11="SAC",IF(A184&lt;=$M$4,0,MIN($M$7,B184)),IF(DADOS!$C$11="AMERICANO",IF(A184=$M$3,MIN(DADOS!$C$7,B184),0),0))))</f>
        <v>0</v>
      </c>
      <c r="D184" s="14">
        <f t="shared" si="8"/>
        <v>0</v>
      </c>
      <c r="E184" s="14">
        <f>IF(A184&gt;$M$3,0,IF(DADOS!$C$11="PRICE",IF(A184&lt;=$M$4,D184,$M$6),IF(DADOS!$C$11="SAC",IF(A184&lt;=$M$4,D184,$M$7 + D184),IF(DADOS!$C$11="AMERICANO",IF(A184&lt;$M$3,D184,D184+C184),0))))</f>
        <v>0</v>
      </c>
      <c r="F184" s="14">
        <f>IF(A184&gt;$M$3,0,DADOS!$C$18)</f>
        <v>0</v>
      </c>
      <c r="G184" s="14">
        <f>IF(A184&gt;$M$3,0,B184*DADOS!$C$19)</f>
        <v>0</v>
      </c>
      <c r="H184" s="14">
        <f t="shared" si="9"/>
        <v>0</v>
      </c>
      <c r="I184" s="14">
        <f t="shared" si="10"/>
        <v>0</v>
      </c>
      <c r="J184" s="14">
        <f t="shared" si="11"/>
        <v>0</v>
      </c>
    </row>
    <row r="185" spans="1:10" x14ac:dyDescent="0.25">
      <c r="A185" s="15">
        <v>179</v>
      </c>
      <c r="B185" s="14">
        <f>IF(A185&gt;$M$3,0,IF(A185=1,DADOS!$C$7,I184))</f>
        <v>0</v>
      </c>
      <c r="C185" s="14">
        <f>IF(A185&gt;$M$3,0,IF(DADOS!$C$11="PRICE",IF(A185&lt;=$M$4,0,MAX(0,E185-D185)),IF(DADOS!$C$11="SAC",IF(A185&lt;=$M$4,0,MIN($M$7,B185)),IF(DADOS!$C$11="AMERICANO",IF(A185=$M$3,MIN(DADOS!$C$7,B185),0),0))))</f>
        <v>0</v>
      </c>
      <c r="D185" s="14">
        <f t="shared" si="8"/>
        <v>0</v>
      </c>
      <c r="E185" s="14">
        <f>IF(A185&gt;$M$3,0,IF(DADOS!$C$11="PRICE",IF(A185&lt;=$M$4,D185,$M$6),IF(DADOS!$C$11="SAC",IF(A185&lt;=$M$4,D185,$M$7 + D185),IF(DADOS!$C$11="AMERICANO",IF(A185&lt;$M$3,D185,D185+C185),0))))</f>
        <v>0</v>
      </c>
      <c r="F185" s="14">
        <f>IF(A185&gt;$M$3,0,DADOS!$C$18)</f>
        <v>0</v>
      </c>
      <c r="G185" s="14">
        <f>IF(A185&gt;$M$3,0,B185*DADOS!$C$19)</f>
        <v>0</v>
      </c>
      <c r="H185" s="14">
        <f t="shared" si="9"/>
        <v>0</v>
      </c>
      <c r="I185" s="14">
        <f t="shared" si="10"/>
        <v>0</v>
      </c>
      <c r="J185" s="14">
        <f t="shared" si="11"/>
        <v>0</v>
      </c>
    </row>
    <row r="186" spans="1:10" x14ac:dyDescent="0.25">
      <c r="A186" s="15">
        <v>180</v>
      </c>
      <c r="B186" s="14">
        <f>IF(A186&gt;$M$3,0,IF(A186=1,DADOS!$C$7,I185))</f>
        <v>0</v>
      </c>
      <c r="C186" s="14">
        <f>IF(A186&gt;$M$3,0,IF(DADOS!$C$11="PRICE",IF(A186&lt;=$M$4,0,MAX(0,E186-D186)),IF(DADOS!$C$11="SAC",IF(A186&lt;=$M$4,0,MIN($M$7,B186)),IF(DADOS!$C$11="AMERICANO",IF(A186=$M$3,MIN(DADOS!$C$7,B186),0),0))))</f>
        <v>0</v>
      </c>
      <c r="D186" s="14">
        <f t="shared" si="8"/>
        <v>0</v>
      </c>
      <c r="E186" s="14">
        <f>IF(A186&gt;$M$3,0,IF(DADOS!$C$11="PRICE",IF(A186&lt;=$M$4,D186,$M$6),IF(DADOS!$C$11="SAC",IF(A186&lt;=$M$4,D186,$M$7 + D186),IF(DADOS!$C$11="AMERICANO",IF(A186&lt;$M$3,D186,D186+C186),0))))</f>
        <v>0</v>
      </c>
      <c r="F186" s="14">
        <f>IF(A186&gt;$M$3,0,DADOS!$C$18)</f>
        <v>0</v>
      </c>
      <c r="G186" s="14">
        <f>IF(A186&gt;$M$3,0,B186*DADOS!$C$19)</f>
        <v>0</v>
      </c>
      <c r="H186" s="14">
        <f t="shared" si="9"/>
        <v>0</v>
      </c>
      <c r="I186" s="14">
        <f t="shared" si="10"/>
        <v>0</v>
      </c>
      <c r="J186" s="14">
        <f t="shared" si="11"/>
        <v>0</v>
      </c>
    </row>
    <row r="187" spans="1:10" x14ac:dyDescent="0.25">
      <c r="A187" s="15">
        <v>181</v>
      </c>
      <c r="B187" s="14">
        <f>IF(A187&gt;$M$3,0,IF(A187=1,DADOS!$C$7,I186))</f>
        <v>0</v>
      </c>
      <c r="C187" s="14">
        <f>IF(A187&gt;$M$3,0,IF(DADOS!$C$11="PRICE",IF(A187&lt;=$M$4,0,MAX(0,E187-D187)),IF(DADOS!$C$11="SAC",IF(A187&lt;=$M$4,0,MIN($M$7,B187)),IF(DADOS!$C$11="AMERICANO",IF(A187=$M$3,MIN(DADOS!$C$7,B187),0),0))))</f>
        <v>0</v>
      </c>
      <c r="D187" s="14">
        <f t="shared" si="8"/>
        <v>0</v>
      </c>
      <c r="E187" s="14">
        <f>IF(A187&gt;$M$3,0,IF(DADOS!$C$11="PRICE",IF(A187&lt;=$M$4,D187,$M$6),IF(DADOS!$C$11="SAC",IF(A187&lt;=$M$4,D187,$M$7 + D187),IF(DADOS!$C$11="AMERICANO",IF(A187&lt;$M$3,D187,D187+C187),0))))</f>
        <v>0</v>
      </c>
      <c r="F187" s="14">
        <f>IF(A187&gt;$M$3,0,DADOS!$C$18)</f>
        <v>0</v>
      </c>
      <c r="G187" s="14">
        <f>IF(A187&gt;$M$3,0,B187*DADOS!$C$19)</f>
        <v>0</v>
      </c>
      <c r="H187" s="14">
        <f t="shared" si="9"/>
        <v>0</v>
      </c>
      <c r="I187" s="14">
        <f t="shared" si="10"/>
        <v>0</v>
      </c>
      <c r="J187" s="14">
        <f t="shared" si="11"/>
        <v>0</v>
      </c>
    </row>
    <row r="188" spans="1:10" x14ac:dyDescent="0.25">
      <c r="A188" s="15">
        <v>182</v>
      </c>
      <c r="B188" s="14">
        <f>IF(A188&gt;$M$3,0,IF(A188=1,DADOS!$C$7,I187))</f>
        <v>0</v>
      </c>
      <c r="C188" s="14">
        <f>IF(A188&gt;$M$3,0,IF(DADOS!$C$11="PRICE",IF(A188&lt;=$M$4,0,MAX(0,E188-D188)),IF(DADOS!$C$11="SAC",IF(A188&lt;=$M$4,0,MIN($M$7,B188)),IF(DADOS!$C$11="AMERICANO",IF(A188=$M$3,MIN(DADOS!$C$7,B188),0),0))))</f>
        <v>0</v>
      </c>
      <c r="D188" s="14">
        <f t="shared" si="8"/>
        <v>0</v>
      </c>
      <c r="E188" s="14">
        <f>IF(A188&gt;$M$3,0,IF(DADOS!$C$11="PRICE",IF(A188&lt;=$M$4,D188,$M$6),IF(DADOS!$C$11="SAC",IF(A188&lt;=$M$4,D188,$M$7 + D188),IF(DADOS!$C$11="AMERICANO",IF(A188&lt;$M$3,D188,D188+C188),0))))</f>
        <v>0</v>
      </c>
      <c r="F188" s="14">
        <f>IF(A188&gt;$M$3,0,DADOS!$C$18)</f>
        <v>0</v>
      </c>
      <c r="G188" s="14">
        <f>IF(A188&gt;$M$3,0,B188*DADOS!$C$19)</f>
        <v>0</v>
      </c>
      <c r="H188" s="14">
        <f t="shared" si="9"/>
        <v>0</v>
      </c>
      <c r="I188" s="14">
        <f t="shared" si="10"/>
        <v>0</v>
      </c>
      <c r="J188" s="14">
        <f t="shared" si="11"/>
        <v>0</v>
      </c>
    </row>
    <row r="189" spans="1:10" x14ac:dyDescent="0.25">
      <c r="A189" s="15">
        <v>183</v>
      </c>
      <c r="B189" s="14">
        <f>IF(A189&gt;$M$3,0,IF(A189=1,DADOS!$C$7,I188))</f>
        <v>0</v>
      </c>
      <c r="C189" s="14">
        <f>IF(A189&gt;$M$3,0,IF(DADOS!$C$11="PRICE",IF(A189&lt;=$M$4,0,MAX(0,E189-D189)),IF(DADOS!$C$11="SAC",IF(A189&lt;=$M$4,0,MIN($M$7,B189)),IF(DADOS!$C$11="AMERICANO",IF(A189=$M$3,MIN(DADOS!$C$7,B189),0),0))))</f>
        <v>0</v>
      </c>
      <c r="D189" s="14">
        <f t="shared" si="8"/>
        <v>0</v>
      </c>
      <c r="E189" s="14">
        <f>IF(A189&gt;$M$3,0,IF(DADOS!$C$11="PRICE",IF(A189&lt;=$M$4,D189,$M$6),IF(DADOS!$C$11="SAC",IF(A189&lt;=$M$4,D189,$M$7 + D189),IF(DADOS!$C$11="AMERICANO",IF(A189&lt;$M$3,D189,D189+C189),0))))</f>
        <v>0</v>
      </c>
      <c r="F189" s="14">
        <f>IF(A189&gt;$M$3,0,DADOS!$C$18)</f>
        <v>0</v>
      </c>
      <c r="G189" s="14">
        <f>IF(A189&gt;$M$3,0,B189*DADOS!$C$19)</f>
        <v>0</v>
      </c>
      <c r="H189" s="14">
        <f t="shared" si="9"/>
        <v>0</v>
      </c>
      <c r="I189" s="14">
        <f t="shared" si="10"/>
        <v>0</v>
      </c>
      <c r="J189" s="14">
        <f t="shared" si="11"/>
        <v>0</v>
      </c>
    </row>
    <row r="190" spans="1:10" x14ac:dyDescent="0.25">
      <c r="A190" s="15">
        <v>184</v>
      </c>
      <c r="B190" s="14">
        <f>IF(A190&gt;$M$3,0,IF(A190=1,DADOS!$C$7,I189))</f>
        <v>0</v>
      </c>
      <c r="C190" s="14">
        <f>IF(A190&gt;$M$3,0,IF(DADOS!$C$11="PRICE",IF(A190&lt;=$M$4,0,MAX(0,E190-D190)),IF(DADOS!$C$11="SAC",IF(A190&lt;=$M$4,0,MIN($M$7,B190)),IF(DADOS!$C$11="AMERICANO",IF(A190=$M$3,MIN(DADOS!$C$7,B190),0),0))))</f>
        <v>0</v>
      </c>
      <c r="D190" s="14">
        <f t="shared" si="8"/>
        <v>0</v>
      </c>
      <c r="E190" s="14">
        <f>IF(A190&gt;$M$3,0,IF(DADOS!$C$11="PRICE",IF(A190&lt;=$M$4,D190,$M$6),IF(DADOS!$C$11="SAC",IF(A190&lt;=$M$4,D190,$M$7 + D190),IF(DADOS!$C$11="AMERICANO",IF(A190&lt;$M$3,D190,D190+C190),0))))</f>
        <v>0</v>
      </c>
      <c r="F190" s="14">
        <f>IF(A190&gt;$M$3,0,DADOS!$C$18)</f>
        <v>0</v>
      </c>
      <c r="G190" s="14">
        <f>IF(A190&gt;$M$3,0,B190*DADOS!$C$19)</f>
        <v>0</v>
      </c>
      <c r="H190" s="14">
        <f t="shared" si="9"/>
        <v>0</v>
      </c>
      <c r="I190" s="14">
        <f t="shared" si="10"/>
        <v>0</v>
      </c>
      <c r="J190" s="14">
        <f t="shared" si="11"/>
        <v>0</v>
      </c>
    </row>
    <row r="191" spans="1:10" x14ac:dyDescent="0.25">
      <c r="A191" s="15">
        <v>185</v>
      </c>
      <c r="B191" s="14">
        <f>IF(A191&gt;$M$3,0,IF(A191=1,DADOS!$C$7,I190))</f>
        <v>0</v>
      </c>
      <c r="C191" s="14">
        <f>IF(A191&gt;$M$3,0,IF(DADOS!$C$11="PRICE",IF(A191&lt;=$M$4,0,MAX(0,E191-D191)),IF(DADOS!$C$11="SAC",IF(A191&lt;=$M$4,0,MIN($M$7,B191)),IF(DADOS!$C$11="AMERICANO",IF(A191=$M$3,MIN(DADOS!$C$7,B191),0),0))))</f>
        <v>0</v>
      </c>
      <c r="D191" s="14">
        <f t="shared" si="8"/>
        <v>0</v>
      </c>
      <c r="E191" s="14">
        <f>IF(A191&gt;$M$3,0,IF(DADOS!$C$11="PRICE",IF(A191&lt;=$M$4,D191,$M$6),IF(DADOS!$C$11="SAC",IF(A191&lt;=$M$4,D191,$M$7 + D191),IF(DADOS!$C$11="AMERICANO",IF(A191&lt;$M$3,D191,D191+C191),0))))</f>
        <v>0</v>
      </c>
      <c r="F191" s="14">
        <f>IF(A191&gt;$M$3,0,DADOS!$C$18)</f>
        <v>0</v>
      </c>
      <c r="G191" s="14">
        <f>IF(A191&gt;$M$3,0,B191*DADOS!$C$19)</f>
        <v>0</v>
      </c>
      <c r="H191" s="14">
        <f t="shared" si="9"/>
        <v>0</v>
      </c>
      <c r="I191" s="14">
        <f t="shared" si="10"/>
        <v>0</v>
      </c>
      <c r="J191" s="14">
        <f t="shared" si="11"/>
        <v>0</v>
      </c>
    </row>
    <row r="192" spans="1:10" x14ac:dyDescent="0.25">
      <c r="A192" s="15">
        <v>186</v>
      </c>
      <c r="B192" s="14">
        <f>IF(A192&gt;$M$3,0,IF(A192=1,DADOS!$C$7,I191))</f>
        <v>0</v>
      </c>
      <c r="C192" s="14">
        <f>IF(A192&gt;$M$3,0,IF(DADOS!$C$11="PRICE",IF(A192&lt;=$M$4,0,MAX(0,E192-D192)),IF(DADOS!$C$11="SAC",IF(A192&lt;=$M$4,0,MIN($M$7,B192)),IF(DADOS!$C$11="AMERICANO",IF(A192=$M$3,MIN(DADOS!$C$7,B192),0),0))))</f>
        <v>0</v>
      </c>
      <c r="D192" s="14">
        <f t="shared" si="8"/>
        <v>0</v>
      </c>
      <c r="E192" s="14">
        <f>IF(A192&gt;$M$3,0,IF(DADOS!$C$11="PRICE",IF(A192&lt;=$M$4,D192,$M$6),IF(DADOS!$C$11="SAC",IF(A192&lt;=$M$4,D192,$M$7 + D192),IF(DADOS!$C$11="AMERICANO",IF(A192&lt;$M$3,D192,D192+C192),0))))</f>
        <v>0</v>
      </c>
      <c r="F192" s="14">
        <f>IF(A192&gt;$M$3,0,DADOS!$C$18)</f>
        <v>0</v>
      </c>
      <c r="G192" s="14">
        <f>IF(A192&gt;$M$3,0,B192*DADOS!$C$19)</f>
        <v>0</v>
      </c>
      <c r="H192" s="14">
        <f t="shared" si="9"/>
        <v>0</v>
      </c>
      <c r="I192" s="14">
        <f t="shared" si="10"/>
        <v>0</v>
      </c>
      <c r="J192" s="14">
        <f t="shared" si="11"/>
        <v>0</v>
      </c>
    </row>
    <row r="193" spans="1:10" x14ac:dyDescent="0.25">
      <c r="A193" s="15">
        <v>187</v>
      </c>
      <c r="B193" s="14">
        <f>IF(A193&gt;$M$3,0,IF(A193=1,DADOS!$C$7,I192))</f>
        <v>0</v>
      </c>
      <c r="C193" s="14">
        <f>IF(A193&gt;$M$3,0,IF(DADOS!$C$11="PRICE",IF(A193&lt;=$M$4,0,MAX(0,E193-D193)),IF(DADOS!$C$11="SAC",IF(A193&lt;=$M$4,0,MIN($M$7,B193)),IF(DADOS!$C$11="AMERICANO",IF(A193=$M$3,MIN(DADOS!$C$7,B193),0),0))))</f>
        <v>0</v>
      </c>
      <c r="D193" s="14">
        <f t="shared" si="8"/>
        <v>0</v>
      </c>
      <c r="E193" s="14">
        <f>IF(A193&gt;$M$3,0,IF(DADOS!$C$11="PRICE",IF(A193&lt;=$M$4,D193,$M$6),IF(DADOS!$C$11="SAC",IF(A193&lt;=$M$4,D193,$M$7 + D193),IF(DADOS!$C$11="AMERICANO",IF(A193&lt;$M$3,D193,D193+C193),0))))</f>
        <v>0</v>
      </c>
      <c r="F193" s="14">
        <f>IF(A193&gt;$M$3,0,DADOS!$C$18)</f>
        <v>0</v>
      </c>
      <c r="G193" s="14">
        <f>IF(A193&gt;$M$3,0,B193*DADOS!$C$19)</f>
        <v>0</v>
      </c>
      <c r="H193" s="14">
        <f t="shared" si="9"/>
        <v>0</v>
      </c>
      <c r="I193" s="14">
        <f t="shared" si="10"/>
        <v>0</v>
      </c>
      <c r="J193" s="14">
        <f t="shared" si="11"/>
        <v>0</v>
      </c>
    </row>
    <row r="194" spans="1:10" x14ac:dyDescent="0.25">
      <c r="A194" s="15">
        <v>188</v>
      </c>
      <c r="B194" s="14">
        <f>IF(A194&gt;$M$3,0,IF(A194=1,DADOS!$C$7,I193))</f>
        <v>0</v>
      </c>
      <c r="C194" s="14">
        <f>IF(A194&gt;$M$3,0,IF(DADOS!$C$11="PRICE",IF(A194&lt;=$M$4,0,MAX(0,E194-D194)),IF(DADOS!$C$11="SAC",IF(A194&lt;=$M$4,0,MIN($M$7,B194)),IF(DADOS!$C$11="AMERICANO",IF(A194=$M$3,MIN(DADOS!$C$7,B194),0),0))))</f>
        <v>0</v>
      </c>
      <c r="D194" s="14">
        <f t="shared" si="8"/>
        <v>0</v>
      </c>
      <c r="E194" s="14">
        <f>IF(A194&gt;$M$3,0,IF(DADOS!$C$11="PRICE",IF(A194&lt;=$M$4,D194,$M$6),IF(DADOS!$C$11="SAC",IF(A194&lt;=$M$4,D194,$M$7 + D194),IF(DADOS!$C$11="AMERICANO",IF(A194&lt;$M$3,D194,D194+C194),0))))</f>
        <v>0</v>
      </c>
      <c r="F194" s="14">
        <f>IF(A194&gt;$M$3,0,DADOS!$C$18)</f>
        <v>0</v>
      </c>
      <c r="G194" s="14">
        <f>IF(A194&gt;$M$3,0,B194*DADOS!$C$19)</f>
        <v>0</v>
      </c>
      <c r="H194" s="14">
        <f t="shared" si="9"/>
        <v>0</v>
      </c>
      <c r="I194" s="14">
        <f t="shared" si="10"/>
        <v>0</v>
      </c>
      <c r="J194" s="14">
        <f t="shared" si="11"/>
        <v>0</v>
      </c>
    </row>
    <row r="195" spans="1:10" x14ac:dyDescent="0.25">
      <c r="A195" s="15">
        <v>189</v>
      </c>
      <c r="B195" s="14">
        <f>IF(A195&gt;$M$3,0,IF(A195=1,DADOS!$C$7,I194))</f>
        <v>0</v>
      </c>
      <c r="C195" s="14">
        <f>IF(A195&gt;$M$3,0,IF(DADOS!$C$11="PRICE",IF(A195&lt;=$M$4,0,MAX(0,E195-D195)),IF(DADOS!$C$11="SAC",IF(A195&lt;=$M$4,0,MIN($M$7,B195)),IF(DADOS!$C$11="AMERICANO",IF(A195=$M$3,MIN(DADOS!$C$7,B195),0),0))))</f>
        <v>0</v>
      </c>
      <c r="D195" s="14">
        <f t="shared" si="8"/>
        <v>0</v>
      </c>
      <c r="E195" s="14">
        <f>IF(A195&gt;$M$3,0,IF(DADOS!$C$11="PRICE",IF(A195&lt;=$M$4,D195,$M$6),IF(DADOS!$C$11="SAC",IF(A195&lt;=$M$4,D195,$M$7 + D195),IF(DADOS!$C$11="AMERICANO",IF(A195&lt;$M$3,D195,D195+C195),0))))</f>
        <v>0</v>
      </c>
      <c r="F195" s="14">
        <f>IF(A195&gt;$M$3,0,DADOS!$C$18)</f>
        <v>0</v>
      </c>
      <c r="G195" s="14">
        <f>IF(A195&gt;$M$3,0,B195*DADOS!$C$19)</f>
        <v>0</v>
      </c>
      <c r="H195" s="14">
        <f t="shared" si="9"/>
        <v>0</v>
      </c>
      <c r="I195" s="14">
        <f t="shared" si="10"/>
        <v>0</v>
      </c>
      <c r="J195" s="14">
        <f t="shared" si="11"/>
        <v>0</v>
      </c>
    </row>
    <row r="196" spans="1:10" x14ac:dyDescent="0.25">
      <c r="A196" s="15">
        <v>190</v>
      </c>
      <c r="B196" s="14">
        <f>IF(A196&gt;$M$3,0,IF(A196=1,DADOS!$C$7,I195))</f>
        <v>0</v>
      </c>
      <c r="C196" s="14">
        <f>IF(A196&gt;$M$3,0,IF(DADOS!$C$11="PRICE",IF(A196&lt;=$M$4,0,MAX(0,E196-D196)),IF(DADOS!$C$11="SAC",IF(A196&lt;=$M$4,0,MIN($M$7,B196)),IF(DADOS!$C$11="AMERICANO",IF(A196=$M$3,MIN(DADOS!$C$7,B196),0),0))))</f>
        <v>0</v>
      </c>
      <c r="D196" s="14">
        <f t="shared" si="8"/>
        <v>0</v>
      </c>
      <c r="E196" s="14">
        <f>IF(A196&gt;$M$3,0,IF(DADOS!$C$11="PRICE",IF(A196&lt;=$M$4,D196,$M$6),IF(DADOS!$C$11="SAC",IF(A196&lt;=$M$4,D196,$M$7 + D196),IF(DADOS!$C$11="AMERICANO",IF(A196&lt;$M$3,D196,D196+C196),0))))</f>
        <v>0</v>
      </c>
      <c r="F196" s="14">
        <f>IF(A196&gt;$M$3,0,DADOS!$C$18)</f>
        <v>0</v>
      </c>
      <c r="G196" s="14">
        <f>IF(A196&gt;$M$3,0,B196*DADOS!$C$19)</f>
        <v>0</v>
      </c>
      <c r="H196" s="14">
        <f t="shared" si="9"/>
        <v>0</v>
      </c>
      <c r="I196" s="14">
        <f t="shared" si="10"/>
        <v>0</v>
      </c>
      <c r="J196" s="14">
        <f t="shared" si="11"/>
        <v>0</v>
      </c>
    </row>
    <row r="197" spans="1:10" x14ac:dyDescent="0.25">
      <c r="A197" s="15">
        <v>191</v>
      </c>
      <c r="B197" s="14">
        <f>IF(A197&gt;$M$3,0,IF(A197=1,DADOS!$C$7,I196))</f>
        <v>0</v>
      </c>
      <c r="C197" s="14">
        <f>IF(A197&gt;$M$3,0,IF(DADOS!$C$11="PRICE",IF(A197&lt;=$M$4,0,MAX(0,E197-D197)),IF(DADOS!$C$11="SAC",IF(A197&lt;=$M$4,0,MIN($M$7,B197)),IF(DADOS!$C$11="AMERICANO",IF(A197=$M$3,MIN(DADOS!$C$7,B197),0),0))))</f>
        <v>0</v>
      </c>
      <c r="D197" s="14">
        <f t="shared" si="8"/>
        <v>0</v>
      </c>
      <c r="E197" s="14">
        <f>IF(A197&gt;$M$3,0,IF(DADOS!$C$11="PRICE",IF(A197&lt;=$M$4,D197,$M$6),IF(DADOS!$C$11="SAC",IF(A197&lt;=$M$4,D197,$M$7 + D197),IF(DADOS!$C$11="AMERICANO",IF(A197&lt;$M$3,D197,D197+C197),0))))</f>
        <v>0</v>
      </c>
      <c r="F197" s="14">
        <f>IF(A197&gt;$M$3,0,DADOS!$C$18)</f>
        <v>0</v>
      </c>
      <c r="G197" s="14">
        <f>IF(A197&gt;$M$3,0,B197*DADOS!$C$19)</f>
        <v>0</v>
      </c>
      <c r="H197" s="14">
        <f t="shared" si="9"/>
        <v>0</v>
      </c>
      <c r="I197" s="14">
        <f t="shared" si="10"/>
        <v>0</v>
      </c>
      <c r="J197" s="14">
        <f t="shared" si="11"/>
        <v>0</v>
      </c>
    </row>
    <row r="198" spans="1:10" x14ac:dyDescent="0.25">
      <c r="A198" s="15">
        <v>192</v>
      </c>
      <c r="B198" s="14">
        <f>IF(A198&gt;$M$3,0,IF(A198=1,DADOS!$C$7,I197))</f>
        <v>0</v>
      </c>
      <c r="C198" s="14">
        <f>IF(A198&gt;$M$3,0,IF(DADOS!$C$11="PRICE",IF(A198&lt;=$M$4,0,MAX(0,E198-D198)),IF(DADOS!$C$11="SAC",IF(A198&lt;=$M$4,0,MIN($M$7,B198)),IF(DADOS!$C$11="AMERICANO",IF(A198=$M$3,MIN(DADOS!$C$7,B198),0),0))))</f>
        <v>0</v>
      </c>
      <c r="D198" s="14">
        <f t="shared" si="8"/>
        <v>0</v>
      </c>
      <c r="E198" s="14">
        <f>IF(A198&gt;$M$3,0,IF(DADOS!$C$11="PRICE",IF(A198&lt;=$M$4,D198,$M$6),IF(DADOS!$C$11="SAC",IF(A198&lt;=$M$4,D198,$M$7 + D198),IF(DADOS!$C$11="AMERICANO",IF(A198&lt;$M$3,D198,D198+C198),0))))</f>
        <v>0</v>
      </c>
      <c r="F198" s="14">
        <f>IF(A198&gt;$M$3,0,DADOS!$C$18)</f>
        <v>0</v>
      </c>
      <c r="G198" s="14">
        <f>IF(A198&gt;$M$3,0,B198*DADOS!$C$19)</f>
        <v>0</v>
      </c>
      <c r="H198" s="14">
        <f t="shared" si="9"/>
        <v>0</v>
      </c>
      <c r="I198" s="14">
        <f t="shared" si="10"/>
        <v>0</v>
      </c>
      <c r="J198" s="14">
        <f t="shared" si="11"/>
        <v>0</v>
      </c>
    </row>
    <row r="199" spans="1:10" x14ac:dyDescent="0.25">
      <c r="A199" s="15">
        <v>193</v>
      </c>
      <c r="B199" s="14">
        <f>IF(A199&gt;$M$3,0,IF(A199=1,DADOS!$C$7,I198))</f>
        <v>0</v>
      </c>
      <c r="C199" s="14">
        <f>IF(A199&gt;$M$3,0,IF(DADOS!$C$11="PRICE",IF(A199&lt;=$M$4,0,MAX(0,E199-D199)),IF(DADOS!$C$11="SAC",IF(A199&lt;=$M$4,0,MIN($M$7,B199)),IF(DADOS!$C$11="AMERICANO",IF(A199=$M$3,MIN(DADOS!$C$7,B199),0),0))))</f>
        <v>0</v>
      </c>
      <c r="D199" s="14">
        <f t="shared" ref="D199:D262" si="12">IF(A199&gt;$M$3,0,B199*$M$2)</f>
        <v>0</v>
      </c>
      <c r="E199" s="14">
        <f>IF(A199&gt;$M$3,0,IF(DADOS!$C$11="PRICE",IF(A199&lt;=$M$4,D199,$M$6),IF(DADOS!$C$11="SAC",IF(A199&lt;=$M$4,D199,$M$7 + D199),IF(DADOS!$C$11="AMERICANO",IF(A199&lt;$M$3,D199,D199+C199),0))))</f>
        <v>0</v>
      </c>
      <c r="F199" s="14">
        <f>IF(A199&gt;$M$3,0,DADOS!$C$18)</f>
        <v>0</v>
      </c>
      <c r="G199" s="14">
        <f>IF(A199&gt;$M$3,0,B199*DADOS!$C$19)</f>
        <v>0</v>
      </c>
      <c r="H199" s="14">
        <f t="shared" ref="H199:H262" si="13">IF(A199&gt;$M$3,0,E199+F199+G199)</f>
        <v>0</v>
      </c>
      <c r="I199" s="14">
        <f t="shared" ref="I199:I262" si="14">IF(A199&gt;$M$3,0,MAX(0,B199-C199))</f>
        <v>0</v>
      </c>
      <c r="J199" s="14">
        <f t="shared" ref="J199:J262" si="15">IF(A199&gt;$M$3,0,-H199)</f>
        <v>0</v>
      </c>
    </row>
    <row r="200" spans="1:10" x14ac:dyDescent="0.25">
      <c r="A200" s="15">
        <v>194</v>
      </c>
      <c r="B200" s="14">
        <f>IF(A200&gt;$M$3,0,IF(A200=1,DADOS!$C$7,I199))</f>
        <v>0</v>
      </c>
      <c r="C200" s="14">
        <f>IF(A200&gt;$M$3,0,IF(DADOS!$C$11="PRICE",IF(A200&lt;=$M$4,0,MAX(0,E200-D200)),IF(DADOS!$C$11="SAC",IF(A200&lt;=$M$4,0,MIN($M$7,B200)),IF(DADOS!$C$11="AMERICANO",IF(A200=$M$3,MIN(DADOS!$C$7,B200),0),0))))</f>
        <v>0</v>
      </c>
      <c r="D200" s="14">
        <f t="shared" si="12"/>
        <v>0</v>
      </c>
      <c r="E200" s="14">
        <f>IF(A200&gt;$M$3,0,IF(DADOS!$C$11="PRICE",IF(A200&lt;=$M$4,D200,$M$6),IF(DADOS!$C$11="SAC",IF(A200&lt;=$M$4,D200,$M$7 + D200),IF(DADOS!$C$11="AMERICANO",IF(A200&lt;$M$3,D200,D200+C200),0))))</f>
        <v>0</v>
      </c>
      <c r="F200" s="14">
        <f>IF(A200&gt;$M$3,0,DADOS!$C$18)</f>
        <v>0</v>
      </c>
      <c r="G200" s="14">
        <f>IF(A200&gt;$M$3,0,B200*DADOS!$C$19)</f>
        <v>0</v>
      </c>
      <c r="H200" s="14">
        <f t="shared" si="13"/>
        <v>0</v>
      </c>
      <c r="I200" s="14">
        <f t="shared" si="14"/>
        <v>0</v>
      </c>
      <c r="J200" s="14">
        <f t="shared" si="15"/>
        <v>0</v>
      </c>
    </row>
    <row r="201" spans="1:10" x14ac:dyDescent="0.25">
      <c r="A201" s="15">
        <v>195</v>
      </c>
      <c r="B201" s="14">
        <f>IF(A201&gt;$M$3,0,IF(A201=1,DADOS!$C$7,I200))</f>
        <v>0</v>
      </c>
      <c r="C201" s="14">
        <f>IF(A201&gt;$M$3,0,IF(DADOS!$C$11="PRICE",IF(A201&lt;=$M$4,0,MAX(0,E201-D201)),IF(DADOS!$C$11="SAC",IF(A201&lt;=$M$4,0,MIN($M$7,B201)),IF(DADOS!$C$11="AMERICANO",IF(A201=$M$3,MIN(DADOS!$C$7,B201),0),0))))</f>
        <v>0</v>
      </c>
      <c r="D201" s="14">
        <f t="shared" si="12"/>
        <v>0</v>
      </c>
      <c r="E201" s="14">
        <f>IF(A201&gt;$M$3,0,IF(DADOS!$C$11="PRICE",IF(A201&lt;=$M$4,D201,$M$6),IF(DADOS!$C$11="SAC",IF(A201&lt;=$M$4,D201,$M$7 + D201),IF(DADOS!$C$11="AMERICANO",IF(A201&lt;$M$3,D201,D201+C201),0))))</f>
        <v>0</v>
      </c>
      <c r="F201" s="14">
        <f>IF(A201&gt;$M$3,0,DADOS!$C$18)</f>
        <v>0</v>
      </c>
      <c r="G201" s="14">
        <f>IF(A201&gt;$M$3,0,B201*DADOS!$C$19)</f>
        <v>0</v>
      </c>
      <c r="H201" s="14">
        <f t="shared" si="13"/>
        <v>0</v>
      </c>
      <c r="I201" s="14">
        <f t="shared" si="14"/>
        <v>0</v>
      </c>
      <c r="J201" s="14">
        <f t="shared" si="15"/>
        <v>0</v>
      </c>
    </row>
    <row r="202" spans="1:10" x14ac:dyDescent="0.25">
      <c r="A202" s="15">
        <v>196</v>
      </c>
      <c r="B202" s="14">
        <f>IF(A202&gt;$M$3,0,IF(A202=1,DADOS!$C$7,I201))</f>
        <v>0</v>
      </c>
      <c r="C202" s="14">
        <f>IF(A202&gt;$M$3,0,IF(DADOS!$C$11="PRICE",IF(A202&lt;=$M$4,0,MAX(0,E202-D202)),IF(DADOS!$C$11="SAC",IF(A202&lt;=$M$4,0,MIN($M$7,B202)),IF(DADOS!$C$11="AMERICANO",IF(A202=$M$3,MIN(DADOS!$C$7,B202),0),0))))</f>
        <v>0</v>
      </c>
      <c r="D202" s="14">
        <f t="shared" si="12"/>
        <v>0</v>
      </c>
      <c r="E202" s="14">
        <f>IF(A202&gt;$M$3,0,IF(DADOS!$C$11="PRICE",IF(A202&lt;=$M$4,D202,$M$6),IF(DADOS!$C$11="SAC",IF(A202&lt;=$M$4,D202,$M$7 + D202),IF(DADOS!$C$11="AMERICANO",IF(A202&lt;$M$3,D202,D202+C202),0))))</f>
        <v>0</v>
      </c>
      <c r="F202" s="14">
        <f>IF(A202&gt;$M$3,0,DADOS!$C$18)</f>
        <v>0</v>
      </c>
      <c r="G202" s="14">
        <f>IF(A202&gt;$M$3,0,B202*DADOS!$C$19)</f>
        <v>0</v>
      </c>
      <c r="H202" s="14">
        <f t="shared" si="13"/>
        <v>0</v>
      </c>
      <c r="I202" s="14">
        <f t="shared" si="14"/>
        <v>0</v>
      </c>
      <c r="J202" s="14">
        <f t="shared" si="15"/>
        <v>0</v>
      </c>
    </row>
    <row r="203" spans="1:10" x14ac:dyDescent="0.25">
      <c r="A203" s="15">
        <v>197</v>
      </c>
      <c r="B203" s="14">
        <f>IF(A203&gt;$M$3,0,IF(A203=1,DADOS!$C$7,I202))</f>
        <v>0</v>
      </c>
      <c r="C203" s="14">
        <f>IF(A203&gt;$M$3,0,IF(DADOS!$C$11="PRICE",IF(A203&lt;=$M$4,0,MAX(0,E203-D203)),IF(DADOS!$C$11="SAC",IF(A203&lt;=$M$4,0,MIN($M$7,B203)),IF(DADOS!$C$11="AMERICANO",IF(A203=$M$3,MIN(DADOS!$C$7,B203),0),0))))</f>
        <v>0</v>
      </c>
      <c r="D203" s="14">
        <f t="shared" si="12"/>
        <v>0</v>
      </c>
      <c r="E203" s="14">
        <f>IF(A203&gt;$M$3,0,IF(DADOS!$C$11="PRICE",IF(A203&lt;=$M$4,D203,$M$6),IF(DADOS!$C$11="SAC",IF(A203&lt;=$M$4,D203,$M$7 + D203),IF(DADOS!$C$11="AMERICANO",IF(A203&lt;$M$3,D203,D203+C203),0))))</f>
        <v>0</v>
      </c>
      <c r="F203" s="14">
        <f>IF(A203&gt;$M$3,0,DADOS!$C$18)</f>
        <v>0</v>
      </c>
      <c r="G203" s="14">
        <f>IF(A203&gt;$M$3,0,B203*DADOS!$C$19)</f>
        <v>0</v>
      </c>
      <c r="H203" s="14">
        <f t="shared" si="13"/>
        <v>0</v>
      </c>
      <c r="I203" s="14">
        <f t="shared" si="14"/>
        <v>0</v>
      </c>
      <c r="J203" s="14">
        <f t="shared" si="15"/>
        <v>0</v>
      </c>
    </row>
    <row r="204" spans="1:10" x14ac:dyDescent="0.25">
      <c r="A204" s="15">
        <v>198</v>
      </c>
      <c r="B204" s="14">
        <f>IF(A204&gt;$M$3,0,IF(A204=1,DADOS!$C$7,I203))</f>
        <v>0</v>
      </c>
      <c r="C204" s="14">
        <f>IF(A204&gt;$M$3,0,IF(DADOS!$C$11="PRICE",IF(A204&lt;=$M$4,0,MAX(0,E204-D204)),IF(DADOS!$C$11="SAC",IF(A204&lt;=$M$4,0,MIN($M$7,B204)),IF(DADOS!$C$11="AMERICANO",IF(A204=$M$3,MIN(DADOS!$C$7,B204),0),0))))</f>
        <v>0</v>
      </c>
      <c r="D204" s="14">
        <f t="shared" si="12"/>
        <v>0</v>
      </c>
      <c r="E204" s="14">
        <f>IF(A204&gt;$M$3,0,IF(DADOS!$C$11="PRICE",IF(A204&lt;=$M$4,D204,$M$6),IF(DADOS!$C$11="SAC",IF(A204&lt;=$M$4,D204,$M$7 + D204),IF(DADOS!$C$11="AMERICANO",IF(A204&lt;$M$3,D204,D204+C204),0))))</f>
        <v>0</v>
      </c>
      <c r="F204" s="14">
        <f>IF(A204&gt;$M$3,0,DADOS!$C$18)</f>
        <v>0</v>
      </c>
      <c r="G204" s="14">
        <f>IF(A204&gt;$M$3,0,B204*DADOS!$C$19)</f>
        <v>0</v>
      </c>
      <c r="H204" s="14">
        <f t="shared" si="13"/>
        <v>0</v>
      </c>
      <c r="I204" s="14">
        <f t="shared" si="14"/>
        <v>0</v>
      </c>
      <c r="J204" s="14">
        <f t="shared" si="15"/>
        <v>0</v>
      </c>
    </row>
    <row r="205" spans="1:10" x14ac:dyDescent="0.25">
      <c r="A205" s="15">
        <v>199</v>
      </c>
      <c r="B205" s="14">
        <f>IF(A205&gt;$M$3,0,IF(A205=1,DADOS!$C$7,I204))</f>
        <v>0</v>
      </c>
      <c r="C205" s="14">
        <f>IF(A205&gt;$M$3,0,IF(DADOS!$C$11="PRICE",IF(A205&lt;=$M$4,0,MAX(0,E205-D205)),IF(DADOS!$C$11="SAC",IF(A205&lt;=$M$4,0,MIN($M$7,B205)),IF(DADOS!$C$11="AMERICANO",IF(A205=$M$3,MIN(DADOS!$C$7,B205),0),0))))</f>
        <v>0</v>
      </c>
      <c r="D205" s="14">
        <f t="shared" si="12"/>
        <v>0</v>
      </c>
      <c r="E205" s="14">
        <f>IF(A205&gt;$M$3,0,IF(DADOS!$C$11="PRICE",IF(A205&lt;=$M$4,D205,$M$6),IF(DADOS!$C$11="SAC",IF(A205&lt;=$M$4,D205,$M$7 + D205),IF(DADOS!$C$11="AMERICANO",IF(A205&lt;$M$3,D205,D205+C205),0))))</f>
        <v>0</v>
      </c>
      <c r="F205" s="14">
        <f>IF(A205&gt;$M$3,0,DADOS!$C$18)</f>
        <v>0</v>
      </c>
      <c r="G205" s="14">
        <f>IF(A205&gt;$M$3,0,B205*DADOS!$C$19)</f>
        <v>0</v>
      </c>
      <c r="H205" s="14">
        <f t="shared" si="13"/>
        <v>0</v>
      </c>
      <c r="I205" s="14">
        <f t="shared" si="14"/>
        <v>0</v>
      </c>
      <c r="J205" s="14">
        <f t="shared" si="15"/>
        <v>0</v>
      </c>
    </row>
    <row r="206" spans="1:10" x14ac:dyDescent="0.25">
      <c r="A206" s="15">
        <v>200</v>
      </c>
      <c r="B206" s="14">
        <f>IF(A206&gt;$M$3,0,IF(A206=1,DADOS!$C$7,I205))</f>
        <v>0</v>
      </c>
      <c r="C206" s="14">
        <f>IF(A206&gt;$M$3,0,IF(DADOS!$C$11="PRICE",IF(A206&lt;=$M$4,0,MAX(0,E206-D206)),IF(DADOS!$C$11="SAC",IF(A206&lt;=$M$4,0,MIN($M$7,B206)),IF(DADOS!$C$11="AMERICANO",IF(A206=$M$3,MIN(DADOS!$C$7,B206),0),0))))</f>
        <v>0</v>
      </c>
      <c r="D206" s="14">
        <f t="shared" si="12"/>
        <v>0</v>
      </c>
      <c r="E206" s="14">
        <f>IF(A206&gt;$M$3,0,IF(DADOS!$C$11="PRICE",IF(A206&lt;=$M$4,D206,$M$6),IF(DADOS!$C$11="SAC",IF(A206&lt;=$M$4,D206,$M$7 + D206),IF(DADOS!$C$11="AMERICANO",IF(A206&lt;$M$3,D206,D206+C206),0))))</f>
        <v>0</v>
      </c>
      <c r="F206" s="14">
        <f>IF(A206&gt;$M$3,0,DADOS!$C$18)</f>
        <v>0</v>
      </c>
      <c r="G206" s="14">
        <f>IF(A206&gt;$M$3,0,B206*DADOS!$C$19)</f>
        <v>0</v>
      </c>
      <c r="H206" s="14">
        <f t="shared" si="13"/>
        <v>0</v>
      </c>
      <c r="I206" s="14">
        <f t="shared" si="14"/>
        <v>0</v>
      </c>
      <c r="J206" s="14">
        <f t="shared" si="15"/>
        <v>0</v>
      </c>
    </row>
    <row r="207" spans="1:10" x14ac:dyDescent="0.25">
      <c r="A207" s="15">
        <v>201</v>
      </c>
      <c r="B207" s="14">
        <f>IF(A207&gt;$M$3,0,IF(A207=1,DADOS!$C$7,I206))</f>
        <v>0</v>
      </c>
      <c r="C207" s="14">
        <f>IF(A207&gt;$M$3,0,IF(DADOS!$C$11="PRICE",IF(A207&lt;=$M$4,0,MAX(0,E207-D207)),IF(DADOS!$C$11="SAC",IF(A207&lt;=$M$4,0,MIN($M$7,B207)),IF(DADOS!$C$11="AMERICANO",IF(A207=$M$3,MIN(DADOS!$C$7,B207),0),0))))</f>
        <v>0</v>
      </c>
      <c r="D207" s="14">
        <f t="shared" si="12"/>
        <v>0</v>
      </c>
      <c r="E207" s="14">
        <f>IF(A207&gt;$M$3,0,IF(DADOS!$C$11="PRICE",IF(A207&lt;=$M$4,D207,$M$6),IF(DADOS!$C$11="SAC",IF(A207&lt;=$M$4,D207,$M$7 + D207),IF(DADOS!$C$11="AMERICANO",IF(A207&lt;$M$3,D207,D207+C207),0))))</f>
        <v>0</v>
      </c>
      <c r="F207" s="14">
        <f>IF(A207&gt;$M$3,0,DADOS!$C$18)</f>
        <v>0</v>
      </c>
      <c r="G207" s="14">
        <f>IF(A207&gt;$M$3,0,B207*DADOS!$C$19)</f>
        <v>0</v>
      </c>
      <c r="H207" s="14">
        <f t="shared" si="13"/>
        <v>0</v>
      </c>
      <c r="I207" s="14">
        <f t="shared" si="14"/>
        <v>0</v>
      </c>
      <c r="J207" s="14">
        <f t="shared" si="15"/>
        <v>0</v>
      </c>
    </row>
    <row r="208" spans="1:10" x14ac:dyDescent="0.25">
      <c r="A208" s="15">
        <v>202</v>
      </c>
      <c r="B208" s="14">
        <f>IF(A208&gt;$M$3,0,IF(A208=1,DADOS!$C$7,I207))</f>
        <v>0</v>
      </c>
      <c r="C208" s="14">
        <f>IF(A208&gt;$M$3,0,IF(DADOS!$C$11="PRICE",IF(A208&lt;=$M$4,0,MAX(0,E208-D208)),IF(DADOS!$C$11="SAC",IF(A208&lt;=$M$4,0,MIN($M$7,B208)),IF(DADOS!$C$11="AMERICANO",IF(A208=$M$3,MIN(DADOS!$C$7,B208),0),0))))</f>
        <v>0</v>
      </c>
      <c r="D208" s="14">
        <f t="shared" si="12"/>
        <v>0</v>
      </c>
      <c r="E208" s="14">
        <f>IF(A208&gt;$M$3,0,IF(DADOS!$C$11="PRICE",IF(A208&lt;=$M$4,D208,$M$6),IF(DADOS!$C$11="SAC",IF(A208&lt;=$M$4,D208,$M$7 + D208),IF(DADOS!$C$11="AMERICANO",IF(A208&lt;$M$3,D208,D208+C208),0))))</f>
        <v>0</v>
      </c>
      <c r="F208" s="14">
        <f>IF(A208&gt;$M$3,0,DADOS!$C$18)</f>
        <v>0</v>
      </c>
      <c r="G208" s="14">
        <f>IF(A208&gt;$M$3,0,B208*DADOS!$C$19)</f>
        <v>0</v>
      </c>
      <c r="H208" s="14">
        <f t="shared" si="13"/>
        <v>0</v>
      </c>
      <c r="I208" s="14">
        <f t="shared" si="14"/>
        <v>0</v>
      </c>
      <c r="J208" s="14">
        <f t="shared" si="15"/>
        <v>0</v>
      </c>
    </row>
    <row r="209" spans="1:10" x14ac:dyDescent="0.25">
      <c r="A209" s="15">
        <v>203</v>
      </c>
      <c r="B209" s="14">
        <f>IF(A209&gt;$M$3,0,IF(A209=1,DADOS!$C$7,I208))</f>
        <v>0</v>
      </c>
      <c r="C209" s="14">
        <f>IF(A209&gt;$M$3,0,IF(DADOS!$C$11="PRICE",IF(A209&lt;=$M$4,0,MAX(0,E209-D209)),IF(DADOS!$C$11="SAC",IF(A209&lt;=$M$4,0,MIN($M$7,B209)),IF(DADOS!$C$11="AMERICANO",IF(A209=$M$3,MIN(DADOS!$C$7,B209),0),0))))</f>
        <v>0</v>
      </c>
      <c r="D209" s="14">
        <f t="shared" si="12"/>
        <v>0</v>
      </c>
      <c r="E209" s="14">
        <f>IF(A209&gt;$M$3,0,IF(DADOS!$C$11="PRICE",IF(A209&lt;=$M$4,D209,$M$6),IF(DADOS!$C$11="SAC",IF(A209&lt;=$M$4,D209,$M$7 + D209),IF(DADOS!$C$11="AMERICANO",IF(A209&lt;$M$3,D209,D209+C209),0))))</f>
        <v>0</v>
      </c>
      <c r="F209" s="14">
        <f>IF(A209&gt;$M$3,0,DADOS!$C$18)</f>
        <v>0</v>
      </c>
      <c r="G209" s="14">
        <f>IF(A209&gt;$M$3,0,B209*DADOS!$C$19)</f>
        <v>0</v>
      </c>
      <c r="H209" s="14">
        <f t="shared" si="13"/>
        <v>0</v>
      </c>
      <c r="I209" s="14">
        <f t="shared" si="14"/>
        <v>0</v>
      </c>
      <c r="J209" s="14">
        <f t="shared" si="15"/>
        <v>0</v>
      </c>
    </row>
    <row r="210" spans="1:10" x14ac:dyDescent="0.25">
      <c r="A210" s="15">
        <v>204</v>
      </c>
      <c r="B210" s="14">
        <f>IF(A210&gt;$M$3,0,IF(A210=1,DADOS!$C$7,I209))</f>
        <v>0</v>
      </c>
      <c r="C210" s="14">
        <f>IF(A210&gt;$M$3,0,IF(DADOS!$C$11="PRICE",IF(A210&lt;=$M$4,0,MAX(0,E210-D210)),IF(DADOS!$C$11="SAC",IF(A210&lt;=$M$4,0,MIN($M$7,B210)),IF(DADOS!$C$11="AMERICANO",IF(A210=$M$3,MIN(DADOS!$C$7,B210),0),0))))</f>
        <v>0</v>
      </c>
      <c r="D210" s="14">
        <f t="shared" si="12"/>
        <v>0</v>
      </c>
      <c r="E210" s="14">
        <f>IF(A210&gt;$M$3,0,IF(DADOS!$C$11="PRICE",IF(A210&lt;=$M$4,D210,$M$6),IF(DADOS!$C$11="SAC",IF(A210&lt;=$M$4,D210,$M$7 + D210),IF(DADOS!$C$11="AMERICANO",IF(A210&lt;$M$3,D210,D210+C210),0))))</f>
        <v>0</v>
      </c>
      <c r="F210" s="14">
        <f>IF(A210&gt;$M$3,0,DADOS!$C$18)</f>
        <v>0</v>
      </c>
      <c r="G210" s="14">
        <f>IF(A210&gt;$M$3,0,B210*DADOS!$C$19)</f>
        <v>0</v>
      </c>
      <c r="H210" s="14">
        <f t="shared" si="13"/>
        <v>0</v>
      </c>
      <c r="I210" s="14">
        <f t="shared" si="14"/>
        <v>0</v>
      </c>
      <c r="J210" s="14">
        <f t="shared" si="15"/>
        <v>0</v>
      </c>
    </row>
    <row r="211" spans="1:10" x14ac:dyDescent="0.25">
      <c r="A211" s="15">
        <v>205</v>
      </c>
      <c r="B211" s="14">
        <f>IF(A211&gt;$M$3,0,IF(A211=1,DADOS!$C$7,I210))</f>
        <v>0</v>
      </c>
      <c r="C211" s="14">
        <f>IF(A211&gt;$M$3,0,IF(DADOS!$C$11="PRICE",IF(A211&lt;=$M$4,0,MAX(0,E211-D211)),IF(DADOS!$C$11="SAC",IF(A211&lt;=$M$4,0,MIN($M$7,B211)),IF(DADOS!$C$11="AMERICANO",IF(A211=$M$3,MIN(DADOS!$C$7,B211),0),0))))</f>
        <v>0</v>
      </c>
      <c r="D211" s="14">
        <f t="shared" si="12"/>
        <v>0</v>
      </c>
      <c r="E211" s="14">
        <f>IF(A211&gt;$M$3,0,IF(DADOS!$C$11="PRICE",IF(A211&lt;=$M$4,D211,$M$6),IF(DADOS!$C$11="SAC",IF(A211&lt;=$M$4,D211,$M$7 + D211),IF(DADOS!$C$11="AMERICANO",IF(A211&lt;$M$3,D211,D211+C211),0))))</f>
        <v>0</v>
      </c>
      <c r="F211" s="14">
        <f>IF(A211&gt;$M$3,0,DADOS!$C$18)</f>
        <v>0</v>
      </c>
      <c r="G211" s="14">
        <f>IF(A211&gt;$M$3,0,B211*DADOS!$C$19)</f>
        <v>0</v>
      </c>
      <c r="H211" s="14">
        <f t="shared" si="13"/>
        <v>0</v>
      </c>
      <c r="I211" s="14">
        <f t="shared" si="14"/>
        <v>0</v>
      </c>
      <c r="J211" s="14">
        <f t="shared" si="15"/>
        <v>0</v>
      </c>
    </row>
    <row r="212" spans="1:10" x14ac:dyDescent="0.25">
      <c r="A212" s="15">
        <v>206</v>
      </c>
      <c r="B212" s="14">
        <f>IF(A212&gt;$M$3,0,IF(A212=1,DADOS!$C$7,I211))</f>
        <v>0</v>
      </c>
      <c r="C212" s="14">
        <f>IF(A212&gt;$M$3,0,IF(DADOS!$C$11="PRICE",IF(A212&lt;=$M$4,0,MAX(0,E212-D212)),IF(DADOS!$C$11="SAC",IF(A212&lt;=$M$4,0,MIN($M$7,B212)),IF(DADOS!$C$11="AMERICANO",IF(A212=$M$3,MIN(DADOS!$C$7,B212),0),0))))</f>
        <v>0</v>
      </c>
      <c r="D212" s="14">
        <f t="shared" si="12"/>
        <v>0</v>
      </c>
      <c r="E212" s="14">
        <f>IF(A212&gt;$M$3,0,IF(DADOS!$C$11="PRICE",IF(A212&lt;=$M$4,D212,$M$6),IF(DADOS!$C$11="SAC",IF(A212&lt;=$M$4,D212,$M$7 + D212),IF(DADOS!$C$11="AMERICANO",IF(A212&lt;$M$3,D212,D212+C212),0))))</f>
        <v>0</v>
      </c>
      <c r="F212" s="14">
        <f>IF(A212&gt;$M$3,0,DADOS!$C$18)</f>
        <v>0</v>
      </c>
      <c r="G212" s="14">
        <f>IF(A212&gt;$M$3,0,B212*DADOS!$C$19)</f>
        <v>0</v>
      </c>
      <c r="H212" s="14">
        <f t="shared" si="13"/>
        <v>0</v>
      </c>
      <c r="I212" s="14">
        <f t="shared" si="14"/>
        <v>0</v>
      </c>
      <c r="J212" s="14">
        <f t="shared" si="15"/>
        <v>0</v>
      </c>
    </row>
    <row r="213" spans="1:10" x14ac:dyDescent="0.25">
      <c r="A213" s="15">
        <v>207</v>
      </c>
      <c r="B213" s="14">
        <f>IF(A213&gt;$M$3,0,IF(A213=1,DADOS!$C$7,I212))</f>
        <v>0</v>
      </c>
      <c r="C213" s="14">
        <f>IF(A213&gt;$M$3,0,IF(DADOS!$C$11="PRICE",IF(A213&lt;=$M$4,0,MAX(0,E213-D213)),IF(DADOS!$C$11="SAC",IF(A213&lt;=$M$4,0,MIN($M$7,B213)),IF(DADOS!$C$11="AMERICANO",IF(A213=$M$3,MIN(DADOS!$C$7,B213),0),0))))</f>
        <v>0</v>
      </c>
      <c r="D213" s="14">
        <f t="shared" si="12"/>
        <v>0</v>
      </c>
      <c r="E213" s="14">
        <f>IF(A213&gt;$M$3,0,IF(DADOS!$C$11="PRICE",IF(A213&lt;=$M$4,D213,$M$6),IF(DADOS!$C$11="SAC",IF(A213&lt;=$M$4,D213,$M$7 + D213),IF(DADOS!$C$11="AMERICANO",IF(A213&lt;$M$3,D213,D213+C213),0))))</f>
        <v>0</v>
      </c>
      <c r="F213" s="14">
        <f>IF(A213&gt;$M$3,0,DADOS!$C$18)</f>
        <v>0</v>
      </c>
      <c r="G213" s="14">
        <f>IF(A213&gt;$M$3,0,B213*DADOS!$C$19)</f>
        <v>0</v>
      </c>
      <c r="H213" s="14">
        <f t="shared" si="13"/>
        <v>0</v>
      </c>
      <c r="I213" s="14">
        <f t="shared" si="14"/>
        <v>0</v>
      </c>
      <c r="J213" s="14">
        <f t="shared" si="15"/>
        <v>0</v>
      </c>
    </row>
    <row r="214" spans="1:10" x14ac:dyDescent="0.25">
      <c r="A214" s="15">
        <v>208</v>
      </c>
      <c r="B214" s="14">
        <f>IF(A214&gt;$M$3,0,IF(A214=1,DADOS!$C$7,I213))</f>
        <v>0</v>
      </c>
      <c r="C214" s="14">
        <f>IF(A214&gt;$M$3,0,IF(DADOS!$C$11="PRICE",IF(A214&lt;=$M$4,0,MAX(0,E214-D214)),IF(DADOS!$C$11="SAC",IF(A214&lt;=$M$4,0,MIN($M$7,B214)),IF(DADOS!$C$11="AMERICANO",IF(A214=$M$3,MIN(DADOS!$C$7,B214),0),0))))</f>
        <v>0</v>
      </c>
      <c r="D214" s="14">
        <f t="shared" si="12"/>
        <v>0</v>
      </c>
      <c r="E214" s="14">
        <f>IF(A214&gt;$M$3,0,IF(DADOS!$C$11="PRICE",IF(A214&lt;=$M$4,D214,$M$6),IF(DADOS!$C$11="SAC",IF(A214&lt;=$M$4,D214,$M$7 + D214),IF(DADOS!$C$11="AMERICANO",IF(A214&lt;$M$3,D214,D214+C214),0))))</f>
        <v>0</v>
      </c>
      <c r="F214" s="14">
        <f>IF(A214&gt;$M$3,0,DADOS!$C$18)</f>
        <v>0</v>
      </c>
      <c r="G214" s="14">
        <f>IF(A214&gt;$M$3,0,B214*DADOS!$C$19)</f>
        <v>0</v>
      </c>
      <c r="H214" s="14">
        <f t="shared" si="13"/>
        <v>0</v>
      </c>
      <c r="I214" s="14">
        <f t="shared" si="14"/>
        <v>0</v>
      </c>
      <c r="J214" s="14">
        <f t="shared" si="15"/>
        <v>0</v>
      </c>
    </row>
    <row r="215" spans="1:10" x14ac:dyDescent="0.25">
      <c r="A215" s="15">
        <v>209</v>
      </c>
      <c r="B215" s="14">
        <f>IF(A215&gt;$M$3,0,IF(A215=1,DADOS!$C$7,I214))</f>
        <v>0</v>
      </c>
      <c r="C215" s="14">
        <f>IF(A215&gt;$M$3,0,IF(DADOS!$C$11="PRICE",IF(A215&lt;=$M$4,0,MAX(0,E215-D215)),IF(DADOS!$C$11="SAC",IF(A215&lt;=$M$4,0,MIN($M$7,B215)),IF(DADOS!$C$11="AMERICANO",IF(A215=$M$3,MIN(DADOS!$C$7,B215),0),0))))</f>
        <v>0</v>
      </c>
      <c r="D215" s="14">
        <f t="shared" si="12"/>
        <v>0</v>
      </c>
      <c r="E215" s="14">
        <f>IF(A215&gt;$M$3,0,IF(DADOS!$C$11="PRICE",IF(A215&lt;=$M$4,D215,$M$6),IF(DADOS!$C$11="SAC",IF(A215&lt;=$M$4,D215,$M$7 + D215),IF(DADOS!$C$11="AMERICANO",IF(A215&lt;$M$3,D215,D215+C215),0))))</f>
        <v>0</v>
      </c>
      <c r="F215" s="14">
        <f>IF(A215&gt;$M$3,0,DADOS!$C$18)</f>
        <v>0</v>
      </c>
      <c r="G215" s="14">
        <f>IF(A215&gt;$M$3,0,B215*DADOS!$C$19)</f>
        <v>0</v>
      </c>
      <c r="H215" s="14">
        <f t="shared" si="13"/>
        <v>0</v>
      </c>
      <c r="I215" s="14">
        <f t="shared" si="14"/>
        <v>0</v>
      </c>
      <c r="J215" s="14">
        <f t="shared" si="15"/>
        <v>0</v>
      </c>
    </row>
    <row r="216" spans="1:10" x14ac:dyDescent="0.25">
      <c r="A216" s="15">
        <v>210</v>
      </c>
      <c r="B216" s="14">
        <f>IF(A216&gt;$M$3,0,IF(A216=1,DADOS!$C$7,I215))</f>
        <v>0</v>
      </c>
      <c r="C216" s="14">
        <f>IF(A216&gt;$M$3,0,IF(DADOS!$C$11="PRICE",IF(A216&lt;=$M$4,0,MAX(0,E216-D216)),IF(DADOS!$C$11="SAC",IF(A216&lt;=$M$4,0,MIN($M$7,B216)),IF(DADOS!$C$11="AMERICANO",IF(A216=$M$3,MIN(DADOS!$C$7,B216),0),0))))</f>
        <v>0</v>
      </c>
      <c r="D216" s="14">
        <f t="shared" si="12"/>
        <v>0</v>
      </c>
      <c r="E216" s="14">
        <f>IF(A216&gt;$M$3,0,IF(DADOS!$C$11="PRICE",IF(A216&lt;=$M$4,D216,$M$6),IF(DADOS!$C$11="SAC",IF(A216&lt;=$M$4,D216,$M$7 + D216),IF(DADOS!$C$11="AMERICANO",IF(A216&lt;$M$3,D216,D216+C216),0))))</f>
        <v>0</v>
      </c>
      <c r="F216" s="14">
        <f>IF(A216&gt;$M$3,0,DADOS!$C$18)</f>
        <v>0</v>
      </c>
      <c r="G216" s="14">
        <f>IF(A216&gt;$M$3,0,B216*DADOS!$C$19)</f>
        <v>0</v>
      </c>
      <c r="H216" s="14">
        <f t="shared" si="13"/>
        <v>0</v>
      </c>
      <c r="I216" s="14">
        <f t="shared" si="14"/>
        <v>0</v>
      </c>
      <c r="J216" s="14">
        <f t="shared" si="15"/>
        <v>0</v>
      </c>
    </row>
    <row r="217" spans="1:10" x14ac:dyDescent="0.25">
      <c r="A217" s="15">
        <v>211</v>
      </c>
      <c r="B217" s="14">
        <f>IF(A217&gt;$M$3,0,IF(A217=1,DADOS!$C$7,I216))</f>
        <v>0</v>
      </c>
      <c r="C217" s="14">
        <f>IF(A217&gt;$M$3,0,IF(DADOS!$C$11="PRICE",IF(A217&lt;=$M$4,0,MAX(0,E217-D217)),IF(DADOS!$C$11="SAC",IF(A217&lt;=$M$4,0,MIN($M$7,B217)),IF(DADOS!$C$11="AMERICANO",IF(A217=$M$3,MIN(DADOS!$C$7,B217),0),0))))</f>
        <v>0</v>
      </c>
      <c r="D217" s="14">
        <f t="shared" si="12"/>
        <v>0</v>
      </c>
      <c r="E217" s="14">
        <f>IF(A217&gt;$M$3,0,IF(DADOS!$C$11="PRICE",IF(A217&lt;=$M$4,D217,$M$6),IF(DADOS!$C$11="SAC",IF(A217&lt;=$M$4,D217,$M$7 + D217),IF(DADOS!$C$11="AMERICANO",IF(A217&lt;$M$3,D217,D217+C217),0))))</f>
        <v>0</v>
      </c>
      <c r="F217" s="14">
        <f>IF(A217&gt;$M$3,0,DADOS!$C$18)</f>
        <v>0</v>
      </c>
      <c r="G217" s="14">
        <f>IF(A217&gt;$M$3,0,B217*DADOS!$C$19)</f>
        <v>0</v>
      </c>
      <c r="H217" s="14">
        <f t="shared" si="13"/>
        <v>0</v>
      </c>
      <c r="I217" s="14">
        <f t="shared" si="14"/>
        <v>0</v>
      </c>
      <c r="J217" s="14">
        <f t="shared" si="15"/>
        <v>0</v>
      </c>
    </row>
    <row r="218" spans="1:10" x14ac:dyDescent="0.25">
      <c r="A218" s="15">
        <v>212</v>
      </c>
      <c r="B218" s="14">
        <f>IF(A218&gt;$M$3,0,IF(A218=1,DADOS!$C$7,I217))</f>
        <v>0</v>
      </c>
      <c r="C218" s="14">
        <f>IF(A218&gt;$M$3,0,IF(DADOS!$C$11="PRICE",IF(A218&lt;=$M$4,0,MAX(0,E218-D218)),IF(DADOS!$C$11="SAC",IF(A218&lt;=$M$4,0,MIN($M$7,B218)),IF(DADOS!$C$11="AMERICANO",IF(A218=$M$3,MIN(DADOS!$C$7,B218),0),0))))</f>
        <v>0</v>
      </c>
      <c r="D218" s="14">
        <f t="shared" si="12"/>
        <v>0</v>
      </c>
      <c r="E218" s="14">
        <f>IF(A218&gt;$M$3,0,IF(DADOS!$C$11="PRICE",IF(A218&lt;=$M$4,D218,$M$6),IF(DADOS!$C$11="SAC",IF(A218&lt;=$M$4,D218,$M$7 + D218),IF(DADOS!$C$11="AMERICANO",IF(A218&lt;$M$3,D218,D218+C218),0))))</f>
        <v>0</v>
      </c>
      <c r="F218" s="14">
        <f>IF(A218&gt;$M$3,0,DADOS!$C$18)</f>
        <v>0</v>
      </c>
      <c r="G218" s="14">
        <f>IF(A218&gt;$M$3,0,B218*DADOS!$C$19)</f>
        <v>0</v>
      </c>
      <c r="H218" s="14">
        <f t="shared" si="13"/>
        <v>0</v>
      </c>
      <c r="I218" s="14">
        <f t="shared" si="14"/>
        <v>0</v>
      </c>
      <c r="J218" s="14">
        <f t="shared" si="15"/>
        <v>0</v>
      </c>
    </row>
    <row r="219" spans="1:10" x14ac:dyDescent="0.25">
      <c r="A219" s="15">
        <v>213</v>
      </c>
      <c r="B219" s="14">
        <f>IF(A219&gt;$M$3,0,IF(A219=1,DADOS!$C$7,I218))</f>
        <v>0</v>
      </c>
      <c r="C219" s="14">
        <f>IF(A219&gt;$M$3,0,IF(DADOS!$C$11="PRICE",IF(A219&lt;=$M$4,0,MAX(0,E219-D219)),IF(DADOS!$C$11="SAC",IF(A219&lt;=$M$4,0,MIN($M$7,B219)),IF(DADOS!$C$11="AMERICANO",IF(A219=$M$3,MIN(DADOS!$C$7,B219),0),0))))</f>
        <v>0</v>
      </c>
      <c r="D219" s="14">
        <f t="shared" si="12"/>
        <v>0</v>
      </c>
      <c r="E219" s="14">
        <f>IF(A219&gt;$M$3,0,IF(DADOS!$C$11="PRICE",IF(A219&lt;=$M$4,D219,$M$6),IF(DADOS!$C$11="SAC",IF(A219&lt;=$M$4,D219,$M$7 + D219),IF(DADOS!$C$11="AMERICANO",IF(A219&lt;$M$3,D219,D219+C219),0))))</f>
        <v>0</v>
      </c>
      <c r="F219" s="14">
        <f>IF(A219&gt;$M$3,0,DADOS!$C$18)</f>
        <v>0</v>
      </c>
      <c r="G219" s="14">
        <f>IF(A219&gt;$M$3,0,B219*DADOS!$C$19)</f>
        <v>0</v>
      </c>
      <c r="H219" s="14">
        <f t="shared" si="13"/>
        <v>0</v>
      </c>
      <c r="I219" s="14">
        <f t="shared" si="14"/>
        <v>0</v>
      </c>
      <c r="J219" s="14">
        <f t="shared" si="15"/>
        <v>0</v>
      </c>
    </row>
    <row r="220" spans="1:10" x14ac:dyDescent="0.25">
      <c r="A220" s="15">
        <v>214</v>
      </c>
      <c r="B220" s="14">
        <f>IF(A220&gt;$M$3,0,IF(A220=1,DADOS!$C$7,I219))</f>
        <v>0</v>
      </c>
      <c r="C220" s="14">
        <f>IF(A220&gt;$M$3,0,IF(DADOS!$C$11="PRICE",IF(A220&lt;=$M$4,0,MAX(0,E220-D220)),IF(DADOS!$C$11="SAC",IF(A220&lt;=$M$4,0,MIN($M$7,B220)),IF(DADOS!$C$11="AMERICANO",IF(A220=$M$3,MIN(DADOS!$C$7,B220),0),0))))</f>
        <v>0</v>
      </c>
      <c r="D220" s="14">
        <f t="shared" si="12"/>
        <v>0</v>
      </c>
      <c r="E220" s="14">
        <f>IF(A220&gt;$M$3,0,IF(DADOS!$C$11="PRICE",IF(A220&lt;=$M$4,D220,$M$6),IF(DADOS!$C$11="SAC",IF(A220&lt;=$M$4,D220,$M$7 + D220),IF(DADOS!$C$11="AMERICANO",IF(A220&lt;$M$3,D220,D220+C220),0))))</f>
        <v>0</v>
      </c>
      <c r="F220" s="14">
        <f>IF(A220&gt;$M$3,0,DADOS!$C$18)</f>
        <v>0</v>
      </c>
      <c r="G220" s="14">
        <f>IF(A220&gt;$M$3,0,B220*DADOS!$C$19)</f>
        <v>0</v>
      </c>
      <c r="H220" s="14">
        <f t="shared" si="13"/>
        <v>0</v>
      </c>
      <c r="I220" s="14">
        <f t="shared" si="14"/>
        <v>0</v>
      </c>
      <c r="J220" s="14">
        <f t="shared" si="15"/>
        <v>0</v>
      </c>
    </row>
    <row r="221" spans="1:10" x14ac:dyDescent="0.25">
      <c r="A221" s="15">
        <v>215</v>
      </c>
      <c r="B221" s="14">
        <f>IF(A221&gt;$M$3,0,IF(A221=1,DADOS!$C$7,I220))</f>
        <v>0</v>
      </c>
      <c r="C221" s="14">
        <f>IF(A221&gt;$M$3,0,IF(DADOS!$C$11="PRICE",IF(A221&lt;=$M$4,0,MAX(0,E221-D221)),IF(DADOS!$C$11="SAC",IF(A221&lt;=$M$4,0,MIN($M$7,B221)),IF(DADOS!$C$11="AMERICANO",IF(A221=$M$3,MIN(DADOS!$C$7,B221),0),0))))</f>
        <v>0</v>
      </c>
      <c r="D221" s="14">
        <f t="shared" si="12"/>
        <v>0</v>
      </c>
      <c r="E221" s="14">
        <f>IF(A221&gt;$M$3,0,IF(DADOS!$C$11="PRICE",IF(A221&lt;=$M$4,D221,$M$6),IF(DADOS!$C$11="SAC",IF(A221&lt;=$M$4,D221,$M$7 + D221),IF(DADOS!$C$11="AMERICANO",IF(A221&lt;$M$3,D221,D221+C221),0))))</f>
        <v>0</v>
      </c>
      <c r="F221" s="14">
        <f>IF(A221&gt;$M$3,0,DADOS!$C$18)</f>
        <v>0</v>
      </c>
      <c r="G221" s="14">
        <f>IF(A221&gt;$M$3,0,B221*DADOS!$C$19)</f>
        <v>0</v>
      </c>
      <c r="H221" s="14">
        <f t="shared" si="13"/>
        <v>0</v>
      </c>
      <c r="I221" s="14">
        <f t="shared" si="14"/>
        <v>0</v>
      </c>
      <c r="J221" s="14">
        <f t="shared" si="15"/>
        <v>0</v>
      </c>
    </row>
    <row r="222" spans="1:10" x14ac:dyDescent="0.25">
      <c r="A222" s="15">
        <v>216</v>
      </c>
      <c r="B222" s="14">
        <f>IF(A222&gt;$M$3,0,IF(A222=1,DADOS!$C$7,I221))</f>
        <v>0</v>
      </c>
      <c r="C222" s="14">
        <f>IF(A222&gt;$M$3,0,IF(DADOS!$C$11="PRICE",IF(A222&lt;=$M$4,0,MAX(0,E222-D222)),IF(DADOS!$C$11="SAC",IF(A222&lt;=$M$4,0,MIN($M$7,B222)),IF(DADOS!$C$11="AMERICANO",IF(A222=$M$3,MIN(DADOS!$C$7,B222),0),0))))</f>
        <v>0</v>
      </c>
      <c r="D222" s="14">
        <f t="shared" si="12"/>
        <v>0</v>
      </c>
      <c r="E222" s="14">
        <f>IF(A222&gt;$M$3,0,IF(DADOS!$C$11="PRICE",IF(A222&lt;=$M$4,D222,$M$6),IF(DADOS!$C$11="SAC",IF(A222&lt;=$M$4,D222,$M$7 + D222),IF(DADOS!$C$11="AMERICANO",IF(A222&lt;$M$3,D222,D222+C222),0))))</f>
        <v>0</v>
      </c>
      <c r="F222" s="14">
        <f>IF(A222&gt;$M$3,0,DADOS!$C$18)</f>
        <v>0</v>
      </c>
      <c r="G222" s="14">
        <f>IF(A222&gt;$M$3,0,B222*DADOS!$C$19)</f>
        <v>0</v>
      </c>
      <c r="H222" s="14">
        <f t="shared" si="13"/>
        <v>0</v>
      </c>
      <c r="I222" s="14">
        <f t="shared" si="14"/>
        <v>0</v>
      </c>
      <c r="J222" s="14">
        <f t="shared" si="15"/>
        <v>0</v>
      </c>
    </row>
    <row r="223" spans="1:10" x14ac:dyDescent="0.25">
      <c r="A223" s="15">
        <v>217</v>
      </c>
      <c r="B223" s="14">
        <f>IF(A223&gt;$M$3,0,IF(A223=1,DADOS!$C$7,I222))</f>
        <v>0</v>
      </c>
      <c r="C223" s="14">
        <f>IF(A223&gt;$M$3,0,IF(DADOS!$C$11="PRICE",IF(A223&lt;=$M$4,0,MAX(0,E223-D223)),IF(DADOS!$C$11="SAC",IF(A223&lt;=$M$4,0,MIN($M$7,B223)),IF(DADOS!$C$11="AMERICANO",IF(A223=$M$3,MIN(DADOS!$C$7,B223),0),0))))</f>
        <v>0</v>
      </c>
      <c r="D223" s="14">
        <f t="shared" si="12"/>
        <v>0</v>
      </c>
      <c r="E223" s="14">
        <f>IF(A223&gt;$M$3,0,IF(DADOS!$C$11="PRICE",IF(A223&lt;=$M$4,D223,$M$6),IF(DADOS!$C$11="SAC",IF(A223&lt;=$M$4,D223,$M$7 + D223),IF(DADOS!$C$11="AMERICANO",IF(A223&lt;$M$3,D223,D223+C223),0))))</f>
        <v>0</v>
      </c>
      <c r="F223" s="14">
        <f>IF(A223&gt;$M$3,0,DADOS!$C$18)</f>
        <v>0</v>
      </c>
      <c r="G223" s="14">
        <f>IF(A223&gt;$M$3,0,B223*DADOS!$C$19)</f>
        <v>0</v>
      </c>
      <c r="H223" s="14">
        <f t="shared" si="13"/>
        <v>0</v>
      </c>
      <c r="I223" s="14">
        <f t="shared" si="14"/>
        <v>0</v>
      </c>
      <c r="J223" s="14">
        <f t="shared" si="15"/>
        <v>0</v>
      </c>
    </row>
    <row r="224" spans="1:10" x14ac:dyDescent="0.25">
      <c r="A224" s="15">
        <v>218</v>
      </c>
      <c r="B224" s="14">
        <f>IF(A224&gt;$M$3,0,IF(A224=1,DADOS!$C$7,I223))</f>
        <v>0</v>
      </c>
      <c r="C224" s="14">
        <f>IF(A224&gt;$M$3,0,IF(DADOS!$C$11="PRICE",IF(A224&lt;=$M$4,0,MAX(0,E224-D224)),IF(DADOS!$C$11="SAC",IF(A224&lt;=$M$4,0,MIN($M$7,B224)),IF(DADOS!$C$11="AMERICANO",IF(A224=$M$3,MIN(DADOS!$C$7,B224),0),0))))</f>
        <v>0</v>
      </c>
      <c r="D224" s="14">
        <f t="shared" si="12"/>
        <v>0</v>
      </c>
      <c r="E224" s="14">
        <f>IF(A224&gt;$M$3,0,IF(DADOS!$C$11="PRICE",IF(A224&lt;=$M$4,D224,$M$6),IF(DADOS!$C$11="SAC",IF(A224&lt;=$M$4,D224,$M$7 + D224),IF(DADOS!$C$11="AMERICANO",IF(A224&lt;$M$3,D224,D224+C224),0))))</f>
        <v>0</v>
      </c>
      <c r="F224" s="14">
        <f>IF(A224&gt;$M$3,0,DADOS!$C$18)</f>
        <v>0</v>
      </c>
      <c r="G224" s="14">
        <f>IF(A224&gt;$M$3,0,B224*DADOS!$C$19)</f>
        <v>0</v>
      </c>
      <c r="H224" s="14">
        <f t="shared" si="13"/>
        <v>0</v>
      </c>
      <c r="I224" s="14">
        <f t="shared" si="14"/>
        <v>0</v>
      </c>
      <c r="J224" s="14">
        <f t="shared" si="15"/>
        <v>0</v>
      </c>
    </row>
    <row r="225" spans="1:10" x14ac:dyDescent="0.25">
      <c r="A225" s="15">
        <v>219</v>
      </c>
      <c r="B225" s="14">
        <f>IF(A225&gt;$M$3,0,IF(A225=1,DADOS!$C$7,I224))</f>
        <v>0</v>
      </c>
      <c r="C225" s="14">
        <f>IF(A225&gt;$M$3,0,IF(DADOS!$C$11="PRICE",IF(A225&lt;=$M$4,0,MAX(0,E225-D225)),IF(DADOS!$C$11="SAC",IF(A225&lt;=$M$4,0,MIN($M$7,B225)),IF(DADOS!$C$11="AMERICANO",IF(A225=$M$3,MIN(DADOS!$C$7,B225),0),0))))</f>
        <v>0</v>
      </c>
      <c r="D225" s="14">
        <f t="shared" si="12"/>
        <v>0</v>
      </c>
      <c r="E225" s="14">
        <f>IF(A225&gt;$M$3,0,IF(DADOS!$C$11="PRICE",IF(A225&lt;=$M$4,D225,$M$6),IF(DADOS!$C$11="SAC",IF(A225&lt;=$M$4,D225,$M$7 + D225),IF(DADOS!$C$11="AMERICANO",IF(A225&lt;$M$3,D225,D225+C225),0))))</f>
        <v>0</v>
      </c>
      <c r="F225" s="14">
        <f>IF(A225&gt;$M$3,0,DADOS!$C$18)</f>
        <v>0</v>
      </c>
      <c r="G225" s="14">
        <f>IF(A225&gt;$M$3,0,B225*DADOS!$C$19)</f>
        <v>0</v>
      </c>
      <c r="H225" s="14">
        <f t="shared" si="13"/>
        <v>0</v>
      </c>
      <c r="I225" s="14">
        <f t="shared" si="14"/>
        <v>0</v>
      </c>
      <c r="J225" s="14">
        <f t="shared" si="15"/>
        <v>0</v>
      </c>
    </row>
    <row r="226" spans="1:10" x14ac:dyDescent="0.25">
      <c r="A226" s="15">
        <v>220</v>
      </c>
      <c r="B226" s="14">
        <f>IF(A226&gt;$M$3,0,IF(A226=1,DADOS!$C$7,I225))</f>
        <v>0</v>
      </c>
      <c r="C226" s="14">
        <f>IF(A226&gt;$M$3,0,IF(DADOS!$C$11="PRICE",IF(A226&lt;=$M$4,0,MAX(0,E226-D226)),IF(DADOS!$C$11="SAC",IF(A226&lt;=$M$4,0,MIN($M$7,B226)),IF(DADOS!$C$11="AMERICANO",IF(A226=$M$3,MIN(DADOS!$C$7,B226),0),0))))</f>
        <v>0</v>
      </c>
      <c r="D226" s="14">
        <f t="shared" si="12"/>
        <v>0</v>
      </c>
      <c r="E226" s="14">
        <f>IF(A226&gt;$M$3,0,IF(DADOS!$C$11="PRICE",IF(A226&lt;=$M$4,D226,$M$6),IF(DADOS!$C$11="SAC",IF(A226&lt;=$M$4,D226,$M$7 + D226),IF(DADOS!$C$11="AMERICANO",IF(A226&lt;$M$3,D226,D226+C226),0))))</f>
        <v>0</v>
      </c>
      <c r="F226" s="14">
        <f>IF(A226&gt;$M$3,0,DADOS!$C$18)</f>
        <v>0</v>
      </c>
      <c r="G226" s="14">
        <f>IF(A226&gt;$M$3,0,B226*DADOS!$C$19)</f>
        <v>0</v>
      </c>
      <c r="H226" s="14">
        <f t="shared" si="13"/>
        <v>0</v>
      </c>
      <c r="I226" s="14">
        <f t="shared" si="14"/>
        <v>0</v>
      </c>
      <c r="J226" s="14">
        <f t="shared" si="15"/>
        <v>0</v>
      </c>
    </row>
    <row r="227" spans="1:10" x14ac:dyDescent="0.25">
      <c r="A227" s="15">
        <v>221</v>
      </c>
      <c r="B227" s="14">
        <f>IF(A227&gt;$M$3,0,IF(A227=1,DADOS!$C$7,I226))</f>
        <v>0</v>
      </c>
      <c r="C227" s="14">
        <f>IF(A227&gt;$M$3,0,IF(DADOS!$C$11="PRICE",IF(A227&lt;=$M$4,0,MAX(0,E227-D227)),IF(DADOS!$C$11="SAC",IF(A227&lt;=$M$4,0,MIN($M$7,B227)),IF(DADOS!$C$11="AMERICANO",IF(A227=$M$3,MIN(DADOS!$C$7,B227),0),0))))</f>
        <v>0</v>
      </c>
      <c r="D227" s="14">
        <f t="shared" si="12"/>
        <v>0</v>
      </c>
      <c r="E227" s="14">
        <f>IF(A227&gt;$M$3,0,IF(DADOS!$C$11="PRICE",IF(A227&lt;=$M$4,D227,$M$6),IF(DADOS!$C$11="SAC",IF(A227&lt;=$M$4,D227,$M$7 + D227),IF(DADOS!$C$11="AMERICANO",IF(A227&lt;$M$3,D227,D227+C227),0))))</f>
        <v>0</v>
      </c>
      <c r="F227" s="14">
        <f>IF(A227&gt;$M$3,0,DADOS!$C$18)</f>
        <v>0</v>
      </c>
      <c r="G227" s="14">
        <f>IF(A227&gt;$M$3,0,B227*DADOS!$C$19)</f>
        <v>0</v>
      </c>
      <c r="H227" s="14">
        <f t="shared" si="13"/>
        <v>0</v>
      </c>
      <c r="I227" s="14">
        <f t="shared" si="14"/>
        <v>0</v>
      </c>
      <c r="J227" s="14">
        <f t="shared" si="15"/>
        <v>0</v>
      </c>
    </row>
    <row r="228" spans="1:10" x14ac:dyDescent="0.25">
      <c r="A228" s="15">
        <v>222</v>
      </c>
      <c r="B228" s="14">
        <f>IF(A228&gt;$M$3,0,IF(A228=1,DADOS!$C$7,I227))</f>
        <v>0</v>
      </c>
      <c r="C228" s="14">
        <f>IF(A228&gt;$M$3,0,IF(DADOS!$C$11="PRICE",IF(A228&lt;=$M$4,0,MAX(0,E228-D228)),IF(DADOS!$C$11="SAC",IF(A228&lt;=$M$4,0,MIN($M$7,B228)),IF(DADOS!$C$11="AMERICANO",IF(A228=$M$3,MIN(DADOS!$C$7,B228),0),0))))</f>
        <v>0</v>
      </c>
      <c r="D228" s="14">
        <f t="shared" si="12"/>
        <v>0</v>
      </c>
      <c r="E228" s="14">
        <f>IF(A228&gt;$M$3,0,IF(DADOS!$C$11="PRICE",IF(A228&lt;=$M$4,D228,$M$6),IF(DADOS!$C$11="SAC",IF(A228&lt;=$M$4,D228,$M$7 + D228),IF(DADOS!$C$11="AMERICANO",IF(A228&lt;$M$3,D228,D228+C228),0))))</f>
        <v>0</v>
      </c>
      <c r="F228" s="14">
        <f>IF(A228&gt;$M$3,0,DADOS!$C$18)</f>
        <v>0</v>
      </c>
      <c r="G228" s="14">
        <f>IF(A228&gt;$M$3,0,B228*DADOS!$C$19)</f>
        <v>0</v>
      </c>
      <c r="H228" s="14">
        <f t="shared" si="13"/>
        <v>0</v>
      </c>
      <c r="I228" s="14">
        <f t="shared" si="14"/>
        <v>0</v>
      </c>
      <c r="J228" s="14">
        <f t="shared" si="15"/>
        <v>0</v>
      </c>
    </row>
    <row r="229" spans="1:10" x14ac:dyDescent="0.25">
      <c r="A229" s="15">
        <v>223</v>
      </c>
      <c r="B229" s="14">
        <f>IF(A229&gt;$M$3,0,IF(A229=1,DADOS!$C$7,I228))</f>
        <v>0</v>
      </c>
      <c r="C229" s="14">
        <f>IF(A229&gt;$M$3,0,IF(DADOS!$C$11="PRICE",IF(A229&lt;=$M$4,0,MAX(0,E229-D229)),IF(DADOS!$C$11="SAC",IF(A229&lt;=$M$4,0,MIN($M$7,B229)),IF(DADOS!$C$11="AMERICANO",IF(A229=$M$3,MIN(DADOS!$C$7,B229),0),0))))</f>
        <v>0</v>
      </c>
      <c r="D229" s="14">
        <f t="shared" si="12"/>
        <v>0</v>
      </c>
      <c r="E229" s="14">
        <f>IF(A229&gt;$M$3,0,IF(DADOS!$C$11="PRICE",IF(A229&lt;=$M$4,D229,$M$6),IF(DADOS!$C$11="SAC",IF(A229&lt;=$M$4,D229,$M$7 + D229),IF(DADOS!$C$11="AMERICANO",IF(A229&lt;$M$3,D229,D229+C229),0))))</f>
        <v>0</v>
      </c>
      <c r="F229" s="14">
        <f>IF(A229&gt;$M$3,0,DADOS!$C$18)</f>
        <v>0</v>
      </c>
      <c r="G229" s="14">
        <f>IF(A229&gt;$M$3,0,B229*DADOS!$C$19)</f>
        <v>0</v>
      </c>
      <c r="H229" s="14">
        <f t="shared" si="13"/>
        <v>0</v>
      </c>
      <c r="I229" s="14">
        <f t="shared" si="14"/>
        <v>0</v>
      </c>
      <c r="J229" s="14">
        <f t="shared" si="15"/>
        <v>0</v>
      </c>
    </row>
    <row r="230" spans="1:10" x14ac:dyDescent="0.25">
      <c r="A230" s="15">
        <v>224</v>
      </c>
      <c r="B230" s="14">
        <f>IF(A230&gt;$M$3,0,IF(A230=1,DADOS!$C$7,I229))</f>
        <v>0</v>
      </c>
      <c r="C230" s="14">
        <f>IF(A230&gt;$M$3,0,IF(DADOS!$C$11="PRICE",IF(A230&lt;=$M$4,0,MAX(0,E230-D230)),IF(DADOS!$C$11="SAC",IF(A230&lt;=$M$4,0,MIN($M$7,B230)),IF(DADOS!$C$11="AMERICANO",IF(A230=$M$3,MIN(DADOS!$C$7,B230),0),0))))</f>
        <v>0</v>
      </c>
      <c r="D230" s="14">
        <f t="shared" si="12"/>
        <v>0</v>
      </c>
      <c r="E230" s="14">
        <f>IF(A230&gt;$M$3,0,IF(DADOS!$C$11="PRICE",IF(A230&lt;=$M$4,D230,$M$6),IF(DADOS!$C$11="SAC",IF(A230&lt;=$M$4,D230,$M$7 + D230),IF(DADOS!$C$11="AMERICANO",IF(A230&lt;$M$3,D230,D230+C230),0))))</f>
        <v>0</v>
      </c>
      <c r="F230" s="14">
        <f>IF(A230&gt;$M$3,0,DADOS!$C$18)</f>
        <v>0</v>
      </c>
      <c r="G230" s="14">
        <f>IF(A230&gt;$M$3,0,B230*DADOS!$C$19)</f>
        <v>0</v>
      </c>
      <c r="H230" s="14">
        <f t="shared" si="13"/>
        <v>0</v>
      </c>
      <c r="I230" s="14">
        <f t="shared" si="14"/>
        <v>0</v>
      </c>
      <c r="J230" s="14">
        <f t="shared" si="15"/>
        <v>0</v>
      </c>
    </row>
    <row r="231" spans="1:10" x14ac:dyDescent="0.25">
      <c r="A231" s="15">
        <v>225</v>
      </c>
      <c r="B231" s="14">
        <f>IF(A231&gt;$M$3,0,IF(A231=1,DADOS!$C$7,I230))</f>
        <v>0</v>
      </c>
      <c r="C231" s="14">
        <f>IF(A231&gt;$M$3,0,IF(DADOS!$C$11="PRICE",IF(A231&lt;=$M$4,0,MAX(0,E231-D231)),IF(DADOS!$C$11="SAC",IF(A231&lt;=$M$4,0,MIN($M$7,B231)),IF(DADOS!$C$11="AMERICANO",IF(A231=$M$3,MIN(DADOS!$C$7,B231),0),0))))</f>
        <v>0</v>
      </c>
      <c r="D231" s="14">
        <f t="shared" si="12"/>
        <v>0</v>
      </c>
      <c r="E231" s="14">
        <f>IF(A231&gt;$M$3,0,IF(DADOS!$C$11="PRICE",IF(A231&lt;=$M$4,D231,$M$6),IF(DADOS!$C$11="SAC",IF(A231&lt;=$M$4,D231,$M$7 + D231),IF(DADOS!$C$11="AMERICANO",IF(A231&lt;$M$3,D231,D231+C231),0))))</f>
        <v>0</v>
      </c>
      <c r="F231" s="14">
        <f>IF(A231&gt;$M$3,0,DADOS!$C$18)</f>
        <v>0</v>
      </c>
      <c r="G231" s="14">
        <f>IF(A231&gt;$M$3,0,B231*DADOS!$C$19)</f>
        <v>0</v>
      </c>
      <c r="H231" s="14">
        <f t="shared" si="13"/>
        <v>0</v>
      </c>
      <c r="I231" s="14">
        <f t="shared" si="14"/>
        <v>0</v>
      </c>
      <c r="J231" s="14">
        <f t="shared" si="15"/>
        <v>0</v>
      </c>
    </row>
    <row r="232" spans="1:10" x14ac:dyDescent="0.25">
      <c r="A232" s="15">
        <v>226</v>
      </c>
      <c r="B232" s="14">
        <f>IF(A232&gt;$M$3,0,IF(A232=1,DADOS!$C$7,I231))</f>
        <v>0</v>
      </c>
      <c r="C232" s="14">
        <f>IF(A232&gt;$M$3,0,IF(DADOS!$C$11="PRICE",IF(A232&lt;=$M$4,0,MAX(0,E232-D232)),IF(DADOS!$C$11="SAC",IF(A232&lt;=$M$4,0,MIN($M$7,B232)),IF(DADOS!$C$11="AMERICANO",IF(A232=$M$3,MIN(DADOS!$C$7,B232),0),0))))</f>
        <v>0</v>
      </c>
      <c r="D232" s="14">
        <f t="shared" si="12"/>
        <v>0</v>
      </c>
      <c r="E232" s="14">
        <f>IF(A232&gt;$M$3,0,IF(DADOS!$C$11="PRICE",IF(A232&lt;=$M$4,D232,$M$6),IF(DADOS!$C$11="SAC",IF(A232&lt;=$M$4,D232,$M$7 + D232),IF(DADOS!$C$11="AMERICANO",IF(A232&lt;$M$3,D232,D232+C232),0))))</f>
        <v>0</v>
      </c>
      <c r="F232" s="14">
        <f>IF(A232&gt;$M$3,0,DADOS!$C$18)</f>
        <v>0</v>
      </c>
      <c r="G232" s="14">
        <f>IF(A232&gt;$M$3,0,B232*DADOS!$C$19)</f>
        <v>0</v>
      </c>
      <c r="H232" s="14">
        <f t="shared" si="13"/>
        <v>0</v>
      </c>
      <c r="I232" s="14">
        <f t="shared" si="14"/>
        <v>0</v>
      </c>
      <c r="J232" s="14">
        <f t="shared" si="15"/>
        <v>0</v>
      </c>
    </row>
    <row r="233" spans="1:10" x14ac:dyDescent="0.25">
      <c r="A233" s="15">
        <v>227</v>
      </c>
      <c r="B233" s="14">
        <f>IF(A233&gt;$M$3,0,IF(A233=1,DADOS!$C$7,I232))</f>
        <v>0</v>
      </c>
      <c r="C233" s="14">
        <f>IF(A233&gt;$M$3,0,IF(DADOS!$C$11="PRICE",IF(A233&lt;=$M$4,0,MAX(0,E233-D233)),IF(DADOS!$C$11="SAC",IF(A233&lt;=$M$4,0,MIN($M$7,B233)),IF(DADOS!$C$11="AMERICANO",IF(A233=$M$3,MIN(DADOS!$C$7,B233),0),0))))</f>
        <v>0</v>
      </c>
      <c r="D233" s="14">
        <f t="shared" si="12"/>
        <v>0</v>
      </c>
      <c r="E233" s="14">
        <f>IF(A233&gt;$M$3,0,IF(DADOS!$C$11="PRICE",IF(A233&lt;=$M$4,D233,$M$6),IF(DADOS!$C$11="SAC",IF(A233&lt;=$M$4,D233,$M$7 + D233),IF(DADOS!$C$11="AMERICANO",IF(A233&lt;$M$3,D233,D233+C233),0))))</f>
        <v>0</v>
      </c>
      <c r="F233" s="14">
        <f>IF(A233&gt;$M$3,0,DADOS!$C$18)</f>
        <v>0</v>
      </c>
      <c r="G233" s="14">
        <f>IF(A233&gt;$M$3,0,B233*DADOS!$C$19)</f>
        <v>0</v>
      </c>
      <c r="H233" s="14">
        <f t="shared" si="13"/>
        <v>0</v>
      </c>
      <c r="I233" s="14">
        <f t="shared" si="14"/>
        <v>0</v>
      </c>
      <c r="J233" s="14">
        <f t="shared" si="15"/>
        <v>0</v>
      </c>
    </row>
    <row r="234" spans="1:10" x14ac:dyDescent="0.25">
      <c r="A234" s="15">
        <v>228</v>
      </c>
      <c r="B234" s="14">
        <f>IF(A234&gt;$M$3,0,IF(A234=1,DADOS!$C$7,I233))</f>
        <v>0</v>
      </c>
      <c r="C234" s="14">
        <f>IF(A234&gt;$M$3,0,IF(DADOS!$C$11="PRICE",IF(A234&lt;=$M$4,0,MAX(0,E234-D234)),IF(DADOS!$C$11="SAC",IF(A234&lt;=$M$4,0,MIN($M$7,B234)),IF(DADOS!$C$11="AMERICANO",IF(A234=$M$3,MIN(DADOS!$C$7,B234),0),0))))</f>
        <v>0</v>
      </c>
      <c r="D234" s="14">
        <f t="shared" si="12"/>
        <v>0</v>
      </c>
      <c r="E234" s="14">
        <f>IF(A234&gt;$M$3,0,IF(DADOS!$C$11="PRICE",IF(A234&lt;=$M$4,D234,$M$6),IF(DADOS!$C$11="SAC",IF(A234&lt;=$M$4,D234,$M$7 + D234),IF(DADOS!$C$11="AMERICANO",IF(A234&lt;$M$3,D234,D234+C234),0))))</f>
        <v>0</v>
      </c>
      <c r="F234" s="14">
        <f>IF(A234&gt;$M$3,0,DADOS!$C$18)</f>
        <v>0</v>
      </c>
      <c r="G234" s="14">
        <f>IF(A234&gt;$M$3,0,B234*DADOS!$C$19)</f>
        <v>0</v>
      </c>
      <c r="H234" s="14">
        <f t="shared" si="13"/>
        <v>0</v>
      </c>
      <c r="I234" s="14">
        <f t="shared" si="14"/>
        <v>0</v>
      </c>
      <c r="J234" s="14">
        <f t="shared" si="15"/>
        <v>0</v>
      </c>
    </row>
    <row r="235" spans="1:10" x14ac:dyDescent="0.25">
      <c r="A235" s="15">
        <v>229</v>
      </c>
      <c r="B235" s="14">
        <f>IF(A235&gt;$M$3,0,IF(A235=1,DADOS!$C$7,I234))</f>
        <v>0</v>
      </c>
      <c r="C235" s="14">
        <f>IF(A235&gt;$M$3,0,IF(DADOS!$C$11="PRICE",IF(A235&lt;=$M$4,0,MAX(0,E235-D235)),IF(DADOS!$C$11="SAC",IF(A235&lt;=$M$4,0,MIN($M$7,B235)),IF(DADOS!$C$11="AMERICANO",IF(A235=$M$3,MIN(DADOS!$C$7,B235),0),0))))</f>
        <v>0</v>
      </c>
      <c r="D235" s="14">
        <f t="shared" si="12"/>
        <v>0</v>
      </c>
      <c r="E235" s="14">
        <f>IF(A235&gt;$M$3,0,IF(DADOS!$C$11="PRICE",IF(A235&lt;=$M$4,D235,$M$6),IF(DADOS!$C$11="SAC",IF(A235&lt;=$M$4,D235,$M$7 + D235),IF(DADOS!$C$11="AMERICANO",IF(A235&lt;$M$3,D235,D235+C235),0))))</f>
        <v>0</v>
      </c>
      <c r="F235" s="14">
        <f>IF(A235&gt;$M$3,0,DADOS!$C$18)</f>
        <v>0</v>
      </c>
      <c r="G235" s="14">
        <f>IF(A235&gt;$M$3,0,B235*DADOS!$C$19)</f>
        <v>0</v>
      </c>
      <c r="H235" s="14">
        <f t="shared" si="13"/>
        <v>0</v>
      </c>
      <c r="I235" s="14">
        <f t="shared" si="14"/>
        <v>0</v>
      </c>
      <c r="J235" s="14">
        <f t="shared" si="15"/>
        <v>0</v>
      </c>
    </row>
    <row r="236" spans="1:10" x14ac:dyDescent="0.25">
      <c r="A236" s="15">
        <v>230</v>
      </c>
      <c r="B236" s="14">
        <f>IF(A236&gt;$M$3,0,IF(A236=1,DADOS!$C$7,I235))</f>
        <v>0</v>
      </c>
      <c r="C236" s="14">
        <f>IF(A236&gt;$M$3,0,IF(DADOS!$C$11="PRICE",IF(A236&lt;=$M$4,0,MAX(0,E236-D236)),IF(DADOS!$C$11="SAC",IF(A236&lt;=$M$4,0,MIN($M$7,B236)),IF(DADOS!$C$11="AMERICANO",IF(A236=$M$3,MIN(DADOS!$C$7,B236),0),0))))</f>
        <v>0</v>
      </c>
      <c r="D236" s="14">
        <f t="shared" si="12"/>
        <v>0</v>
      </c>
      <c r="E236" s="14">
        <f>IF(A236&gt;$M$3,0,IF(DADOS!$C$11="PRICE",IF(A236&lt;=$M$4,D236,$M$6),IF(DADOS!$C$11="SAC",IF(A236&lt;=$M$4,D236,$M$7 + D236),IF(DADOS!$C$11="AMERICANO",IF(A236&lt;$M$3,D236,D236+C236),0))))</f>
        <v>0</v>
      </c>
      <c r="F236" s="14">
        <f>IF(A236&gt;$M$3,0,DADOS!$C$18)</f>
        <v>0</v>
      </c>
      <c r="G236" s="14">
        <f>IF(A236&gt;$M$3,0,B236*DADOS!$C$19)</f>
        <v>0</v>
      </c>
      <c r="H236" s="14">
        <f t="shared" si="13"/>
        <v>0</v>
      </c>
      <c r="I236" s="14">
        <f t="shared" si="14"/>
        <v>0</v>
      </c>
      <c r="J236" s="14">
        <f t="shared" si="15"/>
        <v>0</v>
      </c>
    </row>
    <row r="237" spans="1:10" x14ac:dyDescent="0.25">
      <c r="A237" s="15">
        <v>231</v>
      </c>
      <c r="B237" s="14">
        <f>IF(A237&gt;$M$3,0,IF(A237=1,DADOS!$C$7,I236))</f>
        <v>0</v>
      </c>
      <c r="C237" s="14">
        <f>IF(A237&gt;$M$3,0,IF(DADOS!$C$11="PRICE",IF(A237&lt;=$M$4,0,MAX(0,E237-D237)),IF(DADOS!$C$11="SAC",IF(A237&lt;=$M$4,0,MIN($M$7,B237)),IF(DADOS!$C$11="AMERICANO",IF(A237=$M$3,MIN(DADOS!$C$7,B237),0),0))))</f>
        <v>0</v>
      </c>
      <c r="D237" s="14">
        <f t="shared" si="12"/>
        <v>0</v>
      </c>
      <c r="E237" s="14">
        <f>IF(A237&gt;$M$3,0,IF(DADOS!$C$11="PRICE",IF(A237&lt;=$M$4,D237,$M$6),IF(DADOS!$C$11="SAC",IF(A237&lt;=$M$4,D237,$M$7 + D237),IF(DADOS!$C$11="AMERICANO",IF(A237&lt;$M$3,D237,D237+C237),0))))</f>
        <v>0</v>
      </c>
      <c r="F237" s="14">
        <f>IF(A237&gt;$M$3,0,DADOS!$C$18)</f>
        <v>0</v>
      </c>
      <c r="G237" s="14">
        <f>IF(A237&gt;$M$3,0,B237*DADOS!$C$19)</f>
        <v>0</v>
      </c>
      <c r="H237" s="14">
        <f t="shared" si="13"/>
        <v>0</v>
      </c>
      <c r="I237" s="14">
        <f t="shared" si="14"/>
        <v>0</v>
      </c>
      <c r="J237" s="14">
        <f t="shared" si="15"/>
        <v>0</v>
      </c>
    </row>
    <row r="238" spans="1:10" x14ac:dyDescent="0.25">
      <c r="A238" s="15">
        <v>232</v>
      </c>
      <c r="B238" s="14">
        <f>IF(A238&gt;$M$3,0,IF(A238=1,DADOS!$C$7,I237))</f>
        <v>0</v>
      </c>
      <c r="C238" s="14">
        <f>IF(A238&gt;$M$3,0,IF(DADOS!$C$11="PRICE",IF(A238&lt;=$M$4,0,MAX(0,E238-D238)),IF(DADOS!$C$11="SAC",IF(A238&lt;=$M$4,0,MIN($M$7,B238)),IF(DADOS!$C$11="AMERICANO",IF(A238=$M$3,MIN(DADOS!$C$7,B238),0),0))))</f>
        <v>0</v>
      </c>
      <c r="D238" s="14">
        <f t="shared" si="12"/>
        <v>0</v>
      </c>
      <c r="E238" s="14">
        <f>IF(A238&gt;$M$3,0,IF(DADOS!$C$11="PRICE",IF(A238&lt;=$M$4,D238,$M$6),IF(DADOS!$C$11="SAC",IF(A238&lt;=$M$4,D238,$M$7 + D238),IF(DADOS!$C$11="AMERICANO",IF(A238&lt;$M$3,D238,D238+C238),0))))</f>
        <v>0</v>
      </c>
      <c r="F238" s="14">
        <f>IF(A238&gt;$M$3,0,DADOS!$C$18)</f>
        <v>0</v>
      </c>
      <c r="G238" s="14">
        <f>IF(A238&gt;$M$3,0,B238*DADOS!$C$19)</f>
        <v>0</v>
      </c>
      <c r="H238" s="14">
        <f t="shared" si="13"/>
        <v>0</v>
      </c>
      <c r="I238" s="14">
        <f t="shared" si="14"/>
        <v>0</v>
      </c>
      <c r="J238" s="14">
        <f t="shared" si="15"/>
        <v>0</v>
      </c>
    </row>
    <row r="239" spans="1:10" x14ac:dyDescent="0.25">
      <c r="A239" s="15">
        <v>233</v>
      </c>
      <c r="B239" s="14">
        <f>IF(A239&gt;$M$3,0,IF(A239=1,DADOS!$C$7,I238))</f>
        <v>0</v>
      </c>
      <c r="C239" s="14">
        <f>IF(A239&gt;$M$3,0,IF(DADOS!$C$11="PRICE",IF(A239&lt;=$M$4,0,MAX(0,E239-D239)),IF(DADOS!$C$11="SAC",IF(A239&lt;=$M$4,0,MIN($M$7,B239)),IF(DADOS!$C$11="AMERICANO",IF(A239=$M$3,MIN(DADOS!$C$7,B239),0),0))))</f>
        <v>0</v>
      </c>
      <c r="D239" s="14">
        <f t="shared" si="12"/>
        <v>0</v>
      </c>
      <c r="E239" s="14">
        <f>IF(A239&gt;$M$3,0,IF(DADOS!$C$11="PRICE",IF(A239&lt;=$M$4,D239,$M$6),IF(DADOS!$C$11="SAC",IF(A239&lt;=$M$4,D239,$M$7 + D239),IF(DADOS!$C$11="AMERICANO",IF(A239&lt;$M$3,D239,D239+C239),0))))</f>
        <v>0</v>
      </c>
      <c r="F239" s="14">
        <f>IF(A239&gt;$M$3,0,DADOS!$C$18)</f>
        <v>0</v>
      </c>
      <c r="G239" s="14">
        <f>IF(A239&gt;$M$3,0,B239*DADOS!$C$19)</f>
        <v>0</v>
      </c>
      <c r="H239" s="14">
        <f t="shared" si="13"/>
        <v>0</v>
      </c>
      <c r="I239" s="14">
        <f t="shared" si="14"/>
        <v>0</v>
      </c>
      <c r="J239" s="14">
        <f t="shared" si="15"/>
        <v>0</v>
      </c>
    </row>
    <row r="240" spans="1:10" x14ac:dyDescent="0.25">
      <c r="A240" s="15">
        <v>234</v>
      </c>
      <c r="B240" s="14">
        <f>IF(A240&gt;$M$3,0,IF(A240=1,DADOS!$C$7,I239))</f>
        <v>0</v>
      </c>
      <c r="C240" s="14">
        <f>IF(A240&gt;$M$3,0,IF(DADOS!$C$11="PRICE",IF(A240&lt;=$M$4,0,MAX(0,E240-D240)),IF(DADOS!$C$11="SAC",IF(A240&lt;=$M$4,0,MIN($M$7,B240)),IF(DADOS!$C$11="AMERICANO",IF(A240=$M$3,MIN(DADOS!$C$7,B240),0),0))))</f>
        <v>0</v>
      </c>
      <c r="D240" s="14">
        <f t="shared" si="12"/>
        <v>0</v>
      </c>
      <c r="E240" s="14">
        <f>IF(A240&gt;$M$3,0,IF(DADOS!$C$11="PRICE",IF(A240&lt;=$M$4,D240,$M$6),IF(DADOS!$C$11="SAC",IF(A240&lt;=$M$4,D240,$M$7 + D240),IF(DADOS!$C$11="AMERICANO",IF(A240&lt;$M$3,D240,D240+C240),0))))</f>
        <v>0</v>
      </c>
      <c r="F240" s="14">
        <f>IF(A240&gt;$M$3,0,DADOS!$C$18)</f>
        <v>0</v>
      </c>
      <c r="G240" s="14">
        <f>IF(A240&gt;$M$3,0,B240*DADOS!$C$19)</f>
        <v>0</v>
      </c>
      <c r="H240" s="14">
        <f t="shared" si="13"/>
        <v>0</v>
      </c>
      <c r="I240" s="14">
        <f t="shared" si="14"/>
        <v>0</v>
      </c>
      <c r="J240" s="14">
        <f t="shared" si="15"/>
        <v>0</v>
      </c>
    </row>
    <row r="241" spans="1:10" x14ac:dyDescent="0.25">
      <c r="A241" s="15">
        <v>235</v>
      </c>
      <c r="B241" s="14">
        <f>IF(A241&gt;$M$3,0,IF(A241=1,DADOS!$C$7,I240))</f>
        <v>0</v>
      </c>
      <c r="C241" s="14">
        <f>IF(A241&gt;$M$3,0,IF(DADOS!$C$11="PRICE",IF(A241&lt;=$M$4,0,MAX(0,E241-D241)),IF(DADOS!$C$11="SAC",IF(A241&lt;=$M$4,0,MIN($M$7,B241)),IF(DADOS!$C$11="AMERICANO",IF(A241=$M$3,MIN(DADOS!$C$7,B241),0),0))))</f>
        <v>0</v>
      </c>
      <c r="D241" s="14">
        <f t="shared" si="12"/>
        <v>0</v>
      </c>
      <c r="E241" s="14">
        <f>IF(A241&gt;$M$3,0,IF(DADOS!$C$11="PRICE",IF(A241&lt;=$M$4,D241,$M$6),IF(DADOS!$C$11="SAC",IF(A241&lt;=$M$4,D241,$M$7 + D241),IF(DADOS!$C$11="AMERICANO",IF(A241&lt;$M$3,D241,D241+C241),0))))</f>
        <v>0</v>
      </c>
      <c r="F241" s="14">
        <f>IF(A241&gt;$M$3,0,DADOS!$C$18)</f>
        <v>0</v>
      </c>
      <c r="G241" s="14">
        <f>IF(A241&gt;$M$3,0,B241*DADOS!$C$19)</f>
        <v>0</v>
      </c>
      <c r="H241" s="14">
        <f t="shared" si="13"/>
        <v>0</v>
      </c>
      <c r="I241" s="14">
        <f t="shared" si="14"/>
        <v>0</v>
      </c>
      <c r="J241" s="14">
        <f t="shared" si="15"/>
        <v>0</v>
      </c>
    </row>
    <row r="242" spans="1:10" x14ac:dyDescent="0.25">
      <c r="A242" s="15">
        <v>236</v>
      </c>
      <c r="B242" s="14">
        <f>IF(A242&gt;$M$3,0,IF(A242=1,DADOS!$C$7,I241))</f>
        <v>0</v>
      </c>
      <c r="C242" s="14">
        <f>IF(A242&gt;$M$3,0,IF(DADOS!$C$11="PRICE",IF(A242&lt;=$M$4,0,MAX(0,E242-D242)),IF(DADOS!$C$11="SAC",IF(A242&lt;=$M$4,0,MIN($M$7,B242)),IF(DADOS!$C$11="AMERICANO",IF(A242=$M$3,MIN(DADOS!$C$7,B242),0),0))))</f>
        <v>0</v>
      </c>
      <c r="D242" s="14">
        <f t="shared" si="12"/>
        <v>0</v>
      </c>
      <c r="E242" s="14">
        <f>IF(A242&gt;$M$3,0,IF(DADOS!$C$11="PRICE",IF(A242&lt;=$M$4,D242,$M$6),IF(DADOS!$C$11="SAC",IF(A242&lt;=$M$4,D242,$M$7 + D242),IF(DADOS!$C$11="AMERICANO",IF(A242&lt;$M$3,D242,D242+C242),0))))</f>
        <v>0</v>
      </c>
      <c r="F242" s="14">
        <f>IF(A242&gt;$M$3,0,DADOS!$C$18)</f>
        <v>0</v>
      </c>
      <c r="G242" s="14">
        <f>IF(A242&gt;$M$3,0,B242*DADOS!$C$19)</f>
        <v>0</v>
      </c>
      <c r="H242" s="14">
        <f t="shared" si="13"/>
        <v>0</v>
      </c>
      <c r="I242" s="14">
        <f t="shared" si="14"/>
        <v>0</v>
      </c>
      <c r="J242" s="14">
        <f t="shared" si="15"/>
        <v>0</v>
      </c>
    </row>
    <row r="243" spans="1:10" x14ac:dyDescent="0.25">
      <c r="A243" s="15">
        <v>237</v>
      </c>
      <c r="B243" s="14">
        <f>IF(A243&gt;$M$3,0,IF(A243=1,DADOS!$C$7,I242))</f>
        <v>0</v>
      </c>
      <c r="C243" s="14">
        <f>IF(A243&gt;$M$3,0,IF(DADOS!$C$11="PRICE",IF(A243&lt;=$M$4,0,MAX(0,E243-D243)),IF(DADOS!$C$11="SAC",IF(A243&lt;=$M$4,0,MIN($M$7,B243)),IF(DADOS!$C$11="AMERICANO",IF(A243=$M$3,MIN(DADOS!$C$7,B243),0),0))))</f>
        <v>0</v>
      </c>
      <c r="D243" s="14">
        <f t="shared" si="12"/>
        <v>0</v>
      </c>
      <c r="E243" s="14">
        <f>IF(A243&gt;$M$3,0,IF(DADOS!$C$11="PRICE",IF(A243&lt;=$M$4,D243,$M$6),IF(DADOS!$C$11="SAC",IF(A243&lt;=$M$4,D243,$M$7 + D243),IF(DADOS!$C$11="AMERICANO",IF(A243&lt;$M$3,D243,D243+C243),0))))</f>
        <v>0</v>
      </c>
      <c r="F243" s="14">
        <f>IF(A243&gt;$M$3,0,DADOS!$C$18)</f>
        <v>0</v>
      </c>
      <c r="G243" s="14">
        <f>IF(A243&gt;$M$3,0,B243*DADOS!$C$19)</f>
        <v>0</v>
      </c>
      <c r="H243" s="14">
        <f t="shared" si="13"/>
        <v>0</v>
      </c>
      <c r="I243" s="14">
        <f t="shared" si="14"/>
        <v>0</v>
      </c>
      <c r="J243" s="14">
        <f t="shared" si="15"/>
        <v>0</v>
      </c>
    </row>
    <row r="244" spans="1:10" x14ac:dyDescent="0.25">
      <c r="A244" s="15">
        <v>238</v>
      </c>
      <c r="B244" s="14">
        <f>IF(A244&gt;$M$3,0,IF(A244=1,DADOS!$C$7,I243))</f>
        <v>0</v>
      </c>
      <c r="C244" s="14">
        <f>IF(A244&gt;$M$3,0,IF(DADOS!$C$11="PRICE",IF(A244&lt;=$M$4,0,MAX(0,E244-D244)),IF(DADOS!$C$11="SAC",IF(A244&lt;=$M$4,0,MIN($M$7,B244)),IF(DADOS!$C$11="AMERICANO",IF(A244=$M$3,MIN(DADOS!$C$7,B244),0),0))))</f>
        <v>0</v>
      </c>
      <c r="D244" s="14">
        <f t="shared" si="12"/>
        <v>0</v>
      </c>
      <c r="E244" s="14">
        <f>IF(A244&gt;$M$3,0,IF(DADOS!$C$11="PRICE",IF(A244&lt;=$M$4,D244,$M$6),IF(DADOS!$C$11="SAC",IF(A244&lt;=$M$4,D244,$M$7 + D244),IF(DADOS!$C$11="AMERICANO",IF(A244&lt;$M$3,D244,D244+C244),0))))</f>
        <v>0</v>
      </c>
      <c r="F244" s="14">
        <f>IF(A244&gt;$M$3,0,DADOS!$C$18)</f>
        <v>0</v>
      </c>
      <c r="G244" s="14">
        <f>IF(A244&gt;$M$3,0,B244*DADOS!$C$19)</f>
        <v>0</v>
      </c>
      <c r="H244" s="14">
        <f t="shared" si="13"/>
        <v>0</v>
      </c>
      <c r="I244" s="14">
        <f t="shared" si="14"/>
        <v>0</v>
      </c>
      <c r="J244" s="14">
        <f t="shared" si="15"/>
        <v>0</v>
      </c>
    </row>
    <row r="245" spans="1:10" x14ac:dyDescent="0.25">
      <c r="A245" s="15">
        <v>239</v>
      </c>
      <c r="B245" s="14">
        <f>IF(A245&gt;$M$3,0,IF(A245=1,DADOS!$C$7,I244))</f>
        <v>0</v>
      </c>
      <c r="C245" s="14">
        <f>IF(A245&gt;$M$3,0,IF(DADOS!$C$11="PRICE",IF(A245&lt;=$M$4,0,MAX(0,E245-D245)),IF(DADOS!$C$11="SAC",IF(A245&lt;=$M$4,0,MIN($M$7,B245)),IF(DADOS!$C$11="AMERICANO",IF(A245=$M$3,MIN(DADOS!$C$7,B245),0),0))))</f>
        <v>0</v>
      </c>
      <c r="D245" s="14">
        <f t="shared" si="12"/>
        <v>0</v>
      </c>
      <c r="E245" s="14">
        <f>IF(A245&gt;$M$3,0,IF(DADOS!$C$11="PRICE",IF(A245&lt;=$M$4,D245,$M$6),IF(DADOS!$C$11="SAC",IF(A245&lt;=$M$4,D245,$M$7 + D245),IF(DADOS!$C$11="AMERICANO",IF(A245&lt;$M$3,D245,D245+C245),0))))</f>
        <v>0</v>
      </c>
      <c r="F245" s="14">
        <f>IF(A245&gt;$M$3,0,DADOS!$C$18)</f>
        <v>0</v>
      </c>
      <c r="G245" s="14">
        <f>IF(A245&gt;$M$3,0,B245*DADOS!$C$19)</f>
        <v>0</v>
      </c>
      <c r="H245" s="14">
        <f t="shared" si="13"/>
        <v>0</v>
      </c>
      <c r="I245" s="14">
        <f t="shared" si="14"/>
        <v>0</v>
      </c>
      <c r="J245" s="14">
        <f t="shared" si="15"/>
        <v>0</v>
      </c>
    </row>
    <row r="246" spans="1:10" x14ac:dyDescent="0.25">
      <c r="A246" s="15">
        <v>240</v>
      </c>
      <c r="B246" s="14">
        <f>IF(A246&gt;$M$3,0,IF(A246=1,DADOS!$C$7,I245))</f>
        <v>0</v>
      </c>
      <c r="C246" s="14">
        <f>IF(A246&gt;$M$3,0,IF(DADOS!$C$11="PRICE",IF(A246&lt;=$M$4,0,MAX(0,E246-D246)),IF(DADOS!$C$11="SAC",IF(A246&lt;=$M$4,0,MIN($M$7,B246)),IF(DADOS!$C$11="AMERICANO",IF(A246=$M$3,MIN(DADOS!$C$7,B246),0),0))))</f>
        <v>0</v>
      </c>
      <c r="D246" s="14">
        <f t="shared" si="12"/>
        <v>0</v>
      </c>
      <c r="E246" s="14">
        <f>IF(A246&gt;$M$3,0,IF(DADOS!$C$11="PRICE",IF(A246&lt;=$M$4,D246,$M$6),IF(DADOS!$C$11="SAC",IF(A246&lt;=$M$4,D246,$M$7 + D246),IF(DADOS!$C$11="AMERICANO",IF(A246&lt;$M$3,D246,D246+C246),0))))</f>
        <v>0</v>
      </c>
      <c r="F246" s="14">
        <f>IF(A246&gt;$M$3,0,DADOS!$C$18)</f>
        <v>0</v>
      </c>
      <c r="G246" s="14">
        <f>IF(A246&gt;$M$3,0,B246*DADOS!$C$19)</f>
        <v>0</v>
      </c>
      <c r="H246" s="14">
        <f t="shared" si="13"/>
        <v>0</v>
      </c>
      <c r="I246" s="14">
        <f t="shared" si="14"/>
        <v>0</v>
      </c>
      <c r="J246" s="14">
        <f t="shared" si="15"/>
        <v>0</v>
      </c>
    </row>
    <row r="247" spans="1:10" x14ac:dyDescent="0.25">
      <c r="A247" s="15">
        <v>241</v>
      </c>
      <c r="B247" s="14">
        <f>IF(A247&gt;$M$3,0,IF(A247=1,DADOS!$C$7,I246))</f>
        <v>0</v>
      </c>
      <c r="C247" s="14">
        <f>IF(A247&gt;$M$3,0,IF(DADOS!$C$11="PRICE",IF(A247&lt;=$M$4,0,MAX(0,E247-D247)),IF(DADOS!$C$11="SAC",IF(A247&lt;=$M$4,0,MIN($M$7,B247)),IF(DADOS!$C$11="AMERICANO",IF(A247=$M$3,MIN(DADOS!$C$7,B247),0),0))))</f>
        <v>0</v>
      </c>
      <c r="D247" s="14">
        <f t="shared" si="12"/>
        <v>0</v>
      </c>
      <c r="E247" s="14">
        <f>IF(A247&gt;$M$3,0,IF(DADOS!$C$11="PRICE",IF(A247&lt;=$M$4,D247,$M$6),IF(DADOS!$C$11="SAC",IF(A247&lt;=$M$4,D247,$M$7 + D247),IF(DADOS!$C$11="AMERICANO",IF(A247&lt;$M$3,D247,D247+C247),0))))</f>
        <v>0</v>
      </c>
      <c r="F247" s="14">
        <f>IF(A247&gt;$M$3,0,DADOS!$C$18)</f>
        <v>0</v>
      </c>
      <c r="G247" s="14">
        <f>IF(A247&gt;$M$3,0,B247*DADOS!$C$19)</f>
        <v>0</v>
      </c>
      <c r="H247" s="14">
        <f t="shared" si="13"/>
        <v>0</v>
      </c>
      <c r="I247" s="14">
        <f t="shared" si="14"/>
        <v>0</v>
      </c>
      <c r="J247" s="14">
        <f t="shared" si="15"/>
        <v>0</v>
      </c>
    </row>
    <row r="248" spans="1:10" x14ac:dyDescent="0.25">
      <c r="A248" s="15">
        <v>242</v>
      </c>
      <c r="B248" s="14">
        <f>IF(A248&gt;$M$3,0,IF(A248=1,DADOS!$C$7,I247))</f>
        <v>0</v>
      </c>
      <c r="C248" s="14">
        <f>IF(A248&gt;$M$3,0,IF(DADOS!$C$11="PRICE",IF(A248&lt;=$M$4,0,MAX(0,E248-D248)),IF(DADOS!$C$11="SAC",IF(A248&lt;=$M$4,0,MIN($M$7,B248)),IF(DADOS!$C$11="AMERICANO",IF(A248=$M$3,MIN(DADOS!$C$7,B248),0),0))))</f>
        <v>0</v>
      </c>
      <c r="D248" s="14">
        <f t="shared" si="12"/>
        <v>0</v>
      </c>
      <c r="E248" s="14">
        <f>IF(A248&gt;$M$3,0,IF(DADOS!$C$11="PRICE",IF(A248&lt;=$M$4,D248,$M$6),IF(DADOS!$C$11="SAC",IF(A248&lt;=$M$4,D248,$M$7 + D248),IF(DADOS!$C$11="AMERICANO",IF(A248&lt;$M$3,D248,D248+C248),0))))</f>
        <v>0</v>
      </c>
      <c r="F248" s="14">
        <f>IF(A248&gt;$M$3,0,DADOS!$C$18)</f>
        <v>0</v>
      </c>
      <c r="G248" s="14">
        <f>IF(A248&gt;$M$3,0,B248*DADOS!$C$19)</f>
        <v>0</v>
      </c>
      <c r="H248" s="14">
        <f t="shared" si="13"/>
        <v>0</v>
      </c>
      <c r="I248" s="14">
        <f t="shared" si="14"/>
        <v>0</v>
      </c>
      <c r="J248" s="14">
        <f t="shared" si="15"/>
        <v>0</v>
      </c>
    </row>
    <row r="249" spans="1:10" x14ac:dyDescent="0.25">
      <c r="A249" s="15">
        <v>243</v>
      </c>
      <c r="B249" s="14">
        <f>IF(A249&gt;$M$3,0,IF(A249=1,DADOS!$C$7,I248))</f>
        <v>0</v>
      </c>
      <c r="C249" s="14">
        <f>IF(A249&gt;$M$3,0,IF(DADOS!$C$11="PRICE",IF(A249&lt;=$M$4,0,MAX(0,E249-D249)),IF(DADOS!$C$11="SAC",IF(A249&lt;=$M$4,0,MIN($M$7,B249)),IF(DADOS!$C$11="AMERICANO",IF(A249=$M$3,MIN(DADOS!$C$7,B249),0),0))))</f>
        <v>0</v>
      </c>
      <c r="D249" s="14">
        <f t="shared" si="12"/>
        <v>0</v>
      </c>
      <c r="E249" s="14">
        <f>IF(A249&gt;$M$3,0,IF(DADOS!$C$11="PRICE",IF(A249&lt;=$M$4,D249,$M$6),IF(DADOS!$C$11="SAC",IF(A249&lt;=$M$4,D249,$M$7 + D249),IF(DADOS!$C$11="AMERICANO",IF(A249&lt;$M$3,D249,D249+C249),0))))</f>
        <v>0</v>
      </c>
      <c r="F249" s="14">
        <f>IF(A249&gt;$M$3,0,DADOS!$C$18)</f>
        <v>0</v>
      </c>
      <c r="G249" s="14">
        <f>IF(A249&gt;$M$3,0,B249*DADOS!$C$19)</f>
        <v>0</v>
      </c>
      <c r="H249" s="14">
        <f t="shared" si="13"/>
        <v>0</v>
      </c>
      <c r="I249" s="14">
        <f t="shared" si="14"/>
        <v>0</v>
      </c>
      <c r="J249" s="14">
        <f t="shared" si="15"/>
        <v>0</v>
      </c>
    </row>
    <row r="250" spans="1:10" x14ac:dyDescent="0.25">
      <c r="A250" s="15">
        <v>244</v>
      </c>
      <c r="B250" s="14">
        <f>IF(A250&gt;$M$3,0,IF(A250=1,DADOS!$C$7,I249))</f>
        <v>0</v>
      </c>
      <c r="C250" s="14">
        <f>IF(A250&gt;$M$3,0,IF(DADOS!$C$11="PRICE",IF(A250&lt;=$M$4,0,MAX(0,E250-D250)),IF(DADOS!$C$11="SAC",IF(A250&lt;=$M$4,0,MIN($M$7,B250)),IF(DADOS!$C$11="AMERICANO",IF(A250=$M$3,MIN(DADOS!$C$7,B250),0),0))))</f>
        <v>0</v>
      </c>
      <c r="D250" s="14">
        <f t="shared" si="12"/>
        <v>0</v>
      </c>
      <c r="E250" s="14">
        <f>IF(A250&gt;$M$3,0,IF(DADOS!$C$11="PRICE",IF(A250&lt;=$M$4,D250,$M$6),IF(DADOS!$C$11="SAC",IF(A250&lt;=$M$4,D250,$M$7 + D250),IF(DADOS!$C$11="AMERICANO",IF(A250&lt;$M$3,D250,D250+C250),0))))</f>
        <v>0</v>
      </c>
      <c r="F250" s="14">
        <f>IF(A250&gt;$M$3,0,DADOS!$C$18)</f>
        <v>0</v>
      </c>
      <c r="G250" s="14">
        <f>IF(A250&gt;$M$3,0,B250*DADOS!$C$19)</f>
        <v>0</v>
      </c>
      <c r="H250" s="14">
        <f t="shared" si="13"/>
        <v>0</v>
      </c>
      <c r="I250" s="14">
        <f t="shared" si="14"/>
        <v>0</v>
      </c>
      <c r="J250" s="14">
        <f t="shared" si="15"/>
        <v>0</v>
      </c>
    </row>
    <row r="251" spans="1:10" x14ac:dyDescent="0.25">
      <c r="A251" s="15">
        <v>245</v>
      </c>
      <c r="B251" s="14">
        <f>IF(A251&gt;$M$3,0,IF(A251=1,DADOS!$C$7,I250))</f>
        <v>0</v>
      </c>
      <c r="C251" s="14">
        <f>IF(A251&gt;$M$3,0,IF(DADOS!$C$11="PRICE",IF(A251&lt;=$M$4,0,MAX(0,E251-D251)),IF(DADOS!$C$11="SAC",IF(A251&lt;=$M$4,0,MIN($M$7,B251)),IF(DADOS!$C$11="AMERICANO",IF(A251=$M$3,MIN(DADOS!$C$7,B251),0),0))))</f>
        <v>0</v>
      </c>
      <c r="D251" s="14">
        <f t="shared" si="12"/>
        <v>0</v>
      </c>
      <c r="E251" s="14">
        <f>IF(A251&gt;$M$3,0,IF(DADOS!$C$11="PRICE",IF(A251&lt;=$M$4,D251,$M$6),IF(DADOS!$C$11="SAC",IF(A251&lt;=$M$4,D251,$M$7 + D251),IF(DADOS!$C$11="AMERICANO",IF(A251&lt;$M$3,D251,D251+C251),0))))</f>
        <v>0</v>
      </c>
      <c r="F251" s="14">
        <f>IF(A251&gt;$M$3,0,DADOS!$C$18)</f>
        <v>0</v>
      </c>
      <c r="G251" s="14">
        <f>IF(A251&gt;$M$3,0,B251*DADOS!$C$19)</f>
        <v>0</v>
      </c>
      <c r="H251" s="14">
        <f t="shared" si="13"/>
        <v>0</v>
      </c>
      <c r="I251" s="14">
        <f t="shared" si="14"/>
        <v>0</v>
      </c>
      <c r="J251" s="14">
        <f t="shared" si="15"/>
        <v>0</v>
      </c>
    </row>
    <row r="252" spans="1:10" x14ac:dyDescent="0.25">
      <c r="A252" s="15">
        <v>246</v>
      </c>
      <c r="B252" s="14">
        <f>IF(A252&gt;$M$3,0,IF(A252=1,DADOS!$C$7,I251))</f>
        <v>0</v>
      </c>
      <c r="C252" s="14">
        <f>IF(A252&gt;$M$3,0,IF(DADOS!$C$11="PRICE",IF(A252&lt;=$M$4,0,MAX(0,E252-D252)),IF(DADOS!$C$11="SAC",IF(A252&lt;=$M$4,0,MIN($M$7,B252)),IF(DADOS!$C$11="AMERICANO",IF(A252=$M$3,MIN(DADOS!$C$7,B252),0),0))))</f>
        <v>0</v>
      </c>
      <c r="D252" s="14">
        <f t="shared" si="12"/>
        <v>0</v>
      </c>
      <c r="E252" s="14">
        <f>IF(A252&gt;$M$3,0,IF(DADOS!$C$11="PRICE",IF(A252&lt;=$M$4,D252,$M$6),IF(DADOS!$C$11="SAC",IF(A252&lt;=$M$4,D252,$M$7 + D252),IF(DADOS!$C$11="AMERICANO",IF(A252&lt;$M$3,D252,D252+C252),0))))</f>
        <v>0</v>
      </c>
      <c r="F252" s="14">
        <f>IF(A252&gt;$M$3,0,DADOS!$C$18)</f>
        <v>0</v>
      </c>
      <c r="G252" s="14">
        <f>IF(A252&gt;$M$3,0,B252*DADOS!$C$19)</f>
        <v>0</v>
      </c>
      <c r="H252" s="14">
        <f t="shared" si="13"/>
        <v>0</v>
      </c>
      <c r="I252" s="14">
        <f t="shared" si="14"/>
        <v>0</v>
      </c>
      <c r="J252" s="14">
        <f t="shared" si="15"/>
        <v>0</v>
      </c>
    </row>
    <row r="253" spans="1:10" x14ac:dyDescent="0.25">
      <c r="A253" s="15">
        <v>247</v>
      </c>
      <c r="B253" s="14">
        <f>IF(A253&gt;$M$3,0,IF(A253=1,DADOS!$C$7,I252))</f>
        <v>0</v>
      </c>
      <c r="C253" s="14">
        <f>IF(A253&gt;$M$3,0,IF(DADOS!$C$11="PRICE",IF(A253&lt;=$M$4,0,MAX(0,E253-D253)),IF(DADOS!$C$11="SAC",IF(A253&lt;=$M$4,0,MIN($M$7,B253)),IF(DADOS!$C$11="AMERICANO",IF(A253=$M$3,MIN(DADOS!$C$7,B253),0),0))))</f>
        <v>0</v>
      </c>
      <c r="D253" s="14">
        <f t="shared" si="12"/>
        <v>0</v>
      </c>
      <c r="E253" s="14">
        <f>IF(A253&gt;$M$3,0,IF(DADOS!$C$11="PRICE",IF(A253&lt;=$M$4,D253,$M$6),IF(DADOS!$C$11="SAC",IF(A253&lt;=$M$4,D253,$M$7 + D253),IF(DADOS!$C$11="AMERICANO",IF(A253&lt;$M$3,D253,D253+C253),0))))</f>
        <v>0</v>
      </c>
      <c r="F253" s="14">
        <f>IF(A253&gt;$M$3,0,DADOS!$C$18)</f>
        <v>0</v>
      </c>
      <c r="G253" s="14">
        <f>IF(A253&gt;$M$3,0,B253*DADOS!$C$19)</f>
        <v>0</v>
      </c>
      <c r="H253" s="14">
        <f t="shared" si="13"/>
        <v>0</v>
      </c>
      <c r="I253" s="14">
        <f t="shared" si="14"/>
        <v>0</v>
      </c>
      <c r="J253" s="14">
        <f t="shared" si="15"/>
        <v>0</v>
      </c>
    </row>
    <row r="254" spans="1:10" x14ac:dyDescent="0.25">
      <c r="A254" s="15">
        <v>248</v>
      </c>
      <c r="B254" s="14">
        <f>IF(A254&gt;$M$3,0,IF(A254=1,DADOS!$C$7,I253))</f>
        <v>0</v>
      </c>
      <c r="C254" s="14">
        <f>IF(A254&gt;$M$3,0,IF(DADOS!$C$11="PRICE",IF(A254&lt;=$M$4,0,MAX(0,E254-D254)),IF(DADOS!$C$11="SAC",IF(A254&lt;=$M$4,0,MIN($M$7,B254)),IF(DADOS!$C$11="AMERICANO",IF(A254=$M$3,MIN(DADOS!$C$7,B254),0),0))))</f>
        <v>0</v>
      </c>
      <c r="D254" s="14">
        <f t="shared" si="12"/>
        <v>0</v>
      </c>
      <c r="E254" s="14">
        <f>IF(A254&gt;$M$3,0,IF(DADOS!$C$11="PRICE",IF(A254&lt;=$M$4,D254,$M$6),IF(DADOS!$C$11="SAC",IF(A254&lt;=$M$4,D254,$M$7 + D254),IF(DADOS!$C$11="AMERICANO",IF(A254&lt;$M$3,D254,D254+C254),0))))</f>
        <v>0</v>
      </c>
      <c r="F254" s="14">
        <f>IF(A254&gt;$M$3,0,DADOS!$C$18)</f>
        <v>0</v>
      </c>
      <c r="G254" s="14">
        <f>IF(A254&gt;$M$3,0,B254*DADOS!$C$19)</f>
        <v>0</v>
      </c>
      <c r="H254" s="14">
        <f t="shared" si="13"/>
        <v>0</v>
      </c>
      <c r="I254" s="14">
        <f t="shared" si="14"/>
        <v>0</v>
      </c>
      <c r="J254" s="14">
        <f t="shared" si="15"/>
        <v>0</v>
      </c>
    </row>
    <row r="255" spans="1:10" x14ac:dyDescent="0.25">
      <c r="A255" s="15">
        <v>249</v>
      </c>
      <c r="B255" s="14">
        <f>IF(A255&gt;$M$3,0,IF(A255=1,DADOS!$C$7,I254))</f>
        <v>0</v>
      </c>
      <c r="C255" s="14">
        <f>IF(A255&gt;$M$3,0,IF(DADOS!$C$11="PRICE",IF(A255&lt;=$M$4,0,MAX(0,E255-D255)),IF(DADOS!$C$11="SAC",IF(A255&lt;=$M$4,0,MIN($M$7,B255)),IF(DADOS!$C$11="AMERICANO",IF(A255=$M$3,MIN(DADOS!$C$7,B255),0),0))))</f>
        <v>0</v>
      </c>
      <c r="D255" s="14">
        <f t="shared" si="12"/>
        <v>0</v>
      </c>
      <c r="E255" s="14">
        <f>IF(A255&gt;$M$3,0,IF(DADOS!$C$11="PRICE",IF(A255&lt;=$M$4,D255,$M$6),IF(DADOS!$C$11="SAC",IF(A255&lt;=$M$4,D255,$M$7 + D255),IF(DADOS!$C$11="AMERICANO",IF(A255&lt;$M$3,D255,D255+C255),0))))</f>
        <v>0</v>
      </c>
      <c r="F255" s="14">
        <f>IF(A255&gt;$M$3,0,DADOS!$C$18)</f>
        <v>0</v>
      </c>
      <c r="G255" s="14">
        <f>IF(A255&gt;$M$3,0,B255*DADOS!$C$19)</f>
        <v>0</v>
      </c>
      <c r="H255" s="14">
        <f t="shared" si="13"/>
        <v>0</v>
      </c>
      <c r="I255" s="14">
        <f t="shared" si="14"/>
        <v>0</v>
      </c>
      <c r="J255" s="14">
        <f t="shared" si="15"/>
        <v>0</v>
      </c>
    </row>
    <row r="256" spans="1:10" x14ac:dyDescent="0.25">
      <c r="A256" s="15">
        <v>250</v>
      </c>
      <c r="B256" s="14">
        <f>IF(A256&gt;$M$3,0,IF(A256=1,DADOS!$C$7,I255))</f>
        <v>0</v>
      </c>
      <c r="C256" s="14">
        <f>IF(A256&gt;$M$3,0,IF(DADOS!$C$11="PRICE",IF(A256&lt;=$M$4,0,MAX(0,E256-D256)),IF(DADOS!$C$11="SAC",IF(A256&lt;=$M$4,0,MIN($M$7,B256)),IF(DADOS!$C$11="AMERICANO",IF(A256=$M$3,MIN(DADOS!$C$7,B256),0),0))))</f>
        <v>0</v>
      </c>
      <c r="D256" s="14">
        <f t="shared" si="12"/>
        <v>0</v>
      </c>
      <c r="E256" s="14">
        <f>IF(A256&gt;$M$3,0,IF(DADOS!$C$11="PRICE",IF(A256&lt;=$M$4,D256,$M$6),IF(DADOS!$C$11="SAC",IF(A256&lt;=$M$4,D256,$M$7 + D256),IF(DADOS!$C$11="AMERICANO",IF(A256&lt;$M$3,D256,D256+C256),0))))</f>
        <v>0</v>
      </c>
      <c r="F256" s="14">
        <f>IF(A256&gt;$M$3,0,DADOS!$C$18)</f>
        <v>0</v>
      </c>
      <c r="G256" s="14">
        <f>IF(A256&gt;$M$3,0,B256*DADOS!$C$19)</f>
        <v>0</v>
      </c>
      <c r="H256" s="14">
        <f t="shared" si="13"/>
        <v>0</v>
      </c>
      <c r="I256" s="14">
        <f t="shared" si="14"/>
        <v>0</v>
      </c>
      <c r="J256" s="14">
        <f t="shared" si="15"/>
        <v>0</v>
      </c>
    </row>
    <row r="257" spans="1:10" x14ac:dyDescent="0.25">
      <c r="A257" s="15">
        <v>251</v>
      </c>
      <c r="B257" s="14">
        <f>IF(A257&gt;$M$3,0,IF(A257=1,DADOS!$C$7,I256))</f>
        <v>0</v>
      </c>
      <c r="C257" s="14">
        <f>IF(A257&gt;$M$3,0,IF(DADOS!$C$11="PRICE",IF(A257&lt;=$M$4,0,MAX(0,E257-D257)),IF(DADOS!$C$11="SAC",IF(A257&lt;=$M$4,0,MIN($M$7,B257)),IF(DADOS!$C$11="AMERICANO",IF(A257=$M$3,MIN(DADOS!$C$7,B257),0),0))))</f>
        <v>0</v>
      </c>
      <c r="D257" s="14">
        <f t="shared" si="12"/>
        <v>0</v>
      </c>
      <c r="E257" s="14">
        <f>IF(A257&gt;$M$3,0,IF(DADOS!$C$11="PRICE",IF(A257&lt;=$M$4,D257,$M$6),IF(DADOS!$C$11="SAC",IF(A257&lt;=$M$4,D257,$M$7 + D257),IF(DADOS!$C$11="AMERICANO",IF(A257&lt;$M$3,D257,D257+C257),0))))</f>
        <v>0</v>
      </c>
      <c r="F257" s="14">
        <f>IF(A257&gt;$M$3,0,DADOS!$C$18)</f>
        <v>0</v>
      </c>
      <c r="G257" s="14">
        <f>IF(A257&gt;$M$3,0,B257*DADOS!$C$19)</f>
        <v>0</v>
      </c>
      <c r="H257" s="14">
        <f t="shared" si="13"/>
        <v>0</v>
      </c>
      <c r="I257" s="14">
        <f t="shared" si="14"/>
        <v>0</v>
      </c>
      <c r="J257" s="14">
        <f t="shared" si="15"/>
        <v>0</v>
      </c>
    </row>
    <row r="258" spans="1:10" x14ac:dyDescent="0.25">
      <c r="A258" s="15">
        <v>252</v>
      </c>
      <c r="B258" s="14">
        <f>IF(A258&gt;$M$3,0,IF(A258=1,DADOS!$C$7,I257))</f>
        <v>0</v>
      </c>
      <c r="C258" s="14">
        <f>IF(A258&gt;$M$3,0,IF(DADOS!$C$11="PRICE",IF(A258&lt;=$M$4,0,MAX(0,E258-D258)),IF(DADOS!$C$11="SAC",IF(A258&lt;=$M$4,0,MIN($M$7,B258)),IF(DADOS!$C$11="AMERICANO",IF(A258=$M$3,MIN(DADOS!$C$7,B258),0),0))))</f>
        <v>0</v>
      </c>
      <c r="D258" s="14">
        <f t="shared" si="12"/>
        <v>0</v>
      </c>
      <c r="E258" s="14">
        <f>IF(A258&gt;$M$3,0,IF(DADOS!$C$11="PRICE",IF(A258&lt;=$M$4,D258,$M$6),IF(DADOS!$C$11="SAC",IF(A258&lt;=$M$4,D258,$M$7 + D258),IF(DADOS!$C$11="AMERICANO",IF(A258&lt;$M$3,D258,D258+C258),0))))</f>
        <v>0</v>
      </c>
      <c r="F258" s="14">
        <f>IF(A258&gt;$M$3,0,DADOS!$C$18)</f>
        <v>0</v>
      </c>
      <c r="G258" s="14">
        <f>IF(A258&gt;$M$3,0,B258*DADOS!$C$19)</f>
        <v>0</v>
      </c>
      <c r="H258" s="14">
        <f t="shared" si="13"/>
        <v>0</v>
      </c>
      <c r="I258" s="14">
        <f t="shared" si="14"/>
        <v>0</v>
      </c>
      <c r="J258" s="14">
        <f t="shared" si="15"/>
        <v>0</v>
      </c>
    </row>
    <row r="259" spans="1:10" x14ac:dyDescent="0.25">
      <c r="A259" s="15">
        <v>253</v>
      </c>
      <c r="B259" s="14">
        <f>IF(A259&gt;$M$3,0,IF(A259=1,DADOS!$C$7,I258))</f>
        <v>0</v>
      </c>
      <c r="C259" s="14">
        <f>IF(A259&gt;$M$3,0,IF(DADOS!$C$11="PRICE",IF(A259&lt;=$M$4,0,MAX(0,E259-D259)),IF(DADOS!$C$11="SAC",IF(A259&lt;=$M$4,0,MIN($M$7,B259)),IF(DADOS!$C$11="AMERICANO",IF(A259=$M$3,MIN(DADOS!$C$7,B259),0),0))))</f>
        <v>0</v>
      </c>
      <c r="D259" s="14">
        <f t="shared" si="12"/>
        <v>0</v>
      </c>
      <c r="E259" s="14">
        <f>IF(A259&gt;$M$3,0,IF(DADOS!$C$11="PRICE",IF(A259&lt;=$M$4,D259,$M$6),IF(DADOS!$C$11="SAC",IF(A259&lt;=$M$4,D259,$M$7 + D259),IF(DADOS!$C$11="AMERICANO",IF(A259&lt;$M$3,D259,D259+C259),0))))</f>
        <v>0</v>
      </c>
      <c r="F259" s="14">
        <f>IF(A259&gt;$M$3,0,DADOS!$C$18)</f>
        <v>0</v>
      </c>
      <c r="G259" s="14">
        <f>IF(A259&gt;$M$3,0,B259*DADOS!$C$19)</f>
        <v>0</v>
      </c>
      <c r="H259" s="14">
        <f t="shared" si="13"/>
        <v>0</v>
      </c>
      <c r="I259" s="14">
        <f t="shared" si="14"/>
        <v>0</v>
      </c>
      <c r="J259" s="14">
        <f t="shared" si="15"/>
        <v>0</v>
      </c>
    </row>
    <row r="260" spans="1:10" x14ac:dyDescent="0.25">
      <c r="A260" s="15">
        <v>254</v>
      </c>
      <c r="B260" s="14">
        <f>IF(A260&gt;$M$3,0,IF(A260=1,DADOS!$C$7,I259))</f>
        <v>0</v>
      </c>
      <c r="C260" s="14">
        <f>IF(A260&gt;$M$3,0,IF(DADOS!$C$11="PRICE",IF(A260&lt;=$M$4,0,MAX(0,E260-D260)),IF(DADOS!$C$11="SAC",IF(A260&lt;=$M$4,0,MIN($M$7,B260)),IF(DADOS!$C$11="AMERICANO",IF(A260=$M$3,MIN(DADOS!$C$7,B260),0),0))))</f>
        <v>0</v>
      </c>
      <c r="D260" s="14">
        <f t="shared" si="12"/>
        <v>0</v>
      </c>
      <c r="E260" s="14">
        <f>IF(A260&gt;$M$3,0,IF(DADOS!$C$11="PRICE",IF(A260&lt;=$M$4,D260,$M$6),IF(DADOS!$C$11="SAC",IF(A260&lt;=$M$4,D260,$M$7 + D260),IF(DADOS!$C$11="AMERICANO",IF(A260&lt;$M$3,D260,D260+C260),0))))</f>
        <v>0</v>
      </c>
      <c r="F260" s="14">
        <f>IF(A260&gt;$M$3,0,DADOS!$C$18)</f>
        <v>0</v>
      </c>
      <c r="G260" s="14">
        <f>IF(A260&gt;$M$3,0,B260*DADOS!$C$19)</f>
        <v>0</v>
      </c>
      <c r="H260" s="14">
        <f t="shared" si="13"/>
        <v>0</v>
      </c>
      <c r="I260" s="14">
        <f t="shared" si="14"/>
        <v>0</v>
      </c>
      <c r="J260" s="14">
        <f t="shared" si="15"/>
        <v>0</v>
      </c>
    </row>
    <row r="261" spans="1:10" x14ac:dyDescent="0.25">
      <c r="A261" s="15">
        <v>255</v>
      </c>
      <c r="B261" s="14">
        <f>IF(A261&gt;$M$3,0,IF(A261=1,DADOS!$C$7,I260))</f>
        <v>0</v>
      </c>
      <c r="C261" s="14">
        <f>IF(A261&gt;$M$3,0,IF(DADOS!$C$11="PRICE",IF(A261&lt;=$M$4,0,MAX(0,E261-D261)),IF(DADOS!$C$11="SAC",IF(A261&lt;=$M$4,0,MIN($M$7,B261)),IF(DADOS!$C$11="AMERICANO",IF(A261=$M$3,MIN(DADOS!$C$7,B261),0),0))))</f>
        <v>0</v>
      </c>
      <c r="D261" s="14">
        <f t="shared" si="12"/>
        <v>0</v>
      </c>
      <c r="E261" s="14">
        <f>IF(A261&gt;$M$3,0,IF(DADOS!$C$11="PRICE",IF(A261&lt;=$M$4,D261,$M$6),IF(DADOS!$C$11="SAC",IF(A261&lt;=$M$4,D261,$M$7 + D261),IF(DADOS!$C$11="AMERICANO",IF(A261&lt;$M$3,D261,D261+C261),0))))</f>
        <v>0</v>
      </c>
      <c r="F261" s="14">
        <f>IF(A261&gt;$M$3,0,DADOS!$C$18)</f>
        <v>0</v>
      </c>
      <c r="G261" s="14">
        <f>IF(A261&gt;$M$3,0,B261*DADOS!$C$19)</f>
        <v>0</v>
      </c>
      <c r="H261" s="14">
        <f t="shared" si="13"/>
        <v>0</v>
      </c>
      <c r="I261" s="14">
        <f t="shared" si="14"/>
        <v>0</v>
      </c>
      <c r="J261" s="14">
        <f t="shared" si="15"/>
        <v>0</v>
      </c>
    </row>
    <row r="262" spans="1:10" x14ac:dyDescent="0.25">
      <c r="A262" s="15">
        <v>256</v>
      </c>
      <c r="B262" s="14">
        <f>IF(A262&gt;$M$3,0,IF(A262=1,DADOS!$C$7,I261))</f>
        <v>0</v>
      </c>
      <c r="C262" s="14">
        <f>IF(A262&gt;$M$3,0,IF(DADOS!$C$11="PRICE",IF(A262&lt;=$M$4,0,MAX(0,E262-D262)),IF(DADOS!$C$11="SAC",IF(A262&lt;=$M$4,0,MIN($M$7,B262)),IF(DADOS!$C$11="AMERICANO",IF(A262=$M$3,MIN(DADOS!$C$7,B262),0),0))))</f>
        <v>0</v>
      </c>
      <c r="D262" s="14">
        <f t="shared" si="12"/>
        <v>0</v>
      </c>
      <c r="E262" s="14">
        <f>IF(A262&gt;$M$3,0,IF(DADOS!$C$11="PRICE",IF(A262&lt;=$M$4,D262,$M$6),IF(DADOS!$C$11="SAC",IF(A262&lt;=$M$4,D262,$M$7 + D262),IF(DADOS!$C$11="AMERICANO",IF(A262&lt;$M$3,D262,D262+C262),0))))</f>
        <v>0</v>
      </c>
      <c r="F262" s="14">
        <f>IF(A262&gt;$M$3,0,DADOS!$C$18)</f>
        <v>0</v>
      </c>
      <c r="G262" s="14">
        <f>IF(A262&gt;$M$3,0,B262*DADOS!$C$19)</f>
        <v>0</v>
      </c>
      <c r="H262" s="14">
        <f t="shared" si="13"/>
        <v>0</v>
      </c>
      <c r="I262" s="14">
        <f t="shared" si="14"/>
        <v>0</v>
      </c>
      <c r="J262" s="14">
        <f t="shared" si="15"/>
        <v>0</v>
      </c>
    </row>
    <row r="263" spans="1:10" x14ac:dyDescent="0.25">
      <c r="A263" s="15">
        <v>257</v>
      </c>
      <c r="B263" s="14">
        <f>IF(A263&gt;$M$3,0,IF(A263=1,DADOS!$C$7,I262))</f>
        <v>0</v>
      </c>
      <c r="C263" s="14">
        <f>IF(A263&gt;$M$3,0,IF(DADOS!$C$11="PRICE",IF(A263&lt;=$M$4,0,MAX(0,E263-D263)),IF(DADOS!$C$11="SAC",IF(A263&lt;=$M$4,0,MIN($M$7,B263)),IF(DADOS!$C$11="AMERICANO",IF(A263=$M$3,MIN(DADOS!$C$7,B263),0),0))))</f>
        <v>0</v>
      </c>
      <c r="D263" s="14">
        <f t="shared" ref="D263:D326" si="16">IF(A263&gt;$M$3,0,B263*$M$2)</f>
        <v>0</v>
      </c>
      <c r="E263" s="14">
        <f>IF(A263&gt;$M$3,0,IF(DADOS!$C$11="PRICE",IF(A263&lt;=$M$4,D263,$M$6),IF(DADOS!$C$11="SAC",IF(A263&lt;=$M$4,D263,$M$7 + D263),IF(DADOS!$C$11="AMERICANO",IF(A263&lt;$M$3,D263,D263+C263),0))))</f>
        <v>0</v>
      </c>
      <c r="F263" s="14">
        <f>IF(A263&gt;$M$3,0,DADOS!$C$18)</f>
        <v>0</v>
      </c>
      <c r="G263" s="14">
        <f>IF(A263&gt;$M$3,0,B263*DADOS!$C$19)</f>
        <v>0</v>
      </c>
      <c r="H263" s="14">
        <f t="shared" ref="H263:H326" si="17">IF(A263&gt;$M$3,0,E263+F263+G263)</f>
        <v>0</v>
      </c>
      <c r="I263" s="14">
        <f t="shared" ref="I263:I326" si="18">IF(A263&gt;$M$3,0,MAX(0,B263-C263))</f>
        <v>0</v>
      </c>
      <c r="J263" s="14">
        <f t="shared" ref="J263:J326" si="19">IF(A263&gt;$M$3,0,-H263)</f>
        <v>0</v>
      </c>
    </row>
    <row r="264" spans="1:10" x14ac:dyDescent="0.25">
      <c r="A264" s="15">
        <v>258</v>
      </c>
      <c r="B264" s="14">
        <f>IF(A264&gt;$M$3,0,IF(A264=1,DADOS!$C$7,I263))</f>
        <v>0</v>
      </c>
      <c r="C264" s="14">
        <f>IF(A264&gt;$M$3,0,IF(DADOS!$C$11="PRICE",IF(A264&lt;=$M$4,0,MAX(0,E264-D264)),IF(DADOS!$C$11="SAC",IF(A264&lt;=$M$4,0,MIN($M$7,B264)),IF(DADOS!$C$11="AMERICANO",IF(A264=$M$3,MIN(DADOS!$C$7,B264),0),0))))</f>
        <v>0</v>
      </c>
      <c r="D264" s="14">
        <f t="shared" si="16"/>
        <v>0</v>
      </c>
      <c r="E264" s="14">
        <f>IF(A264&gt;$M$3,0,IF(DADOS!$C$11="PRICE",IF(A264&lt;=$M$4,D264,$M$6),IF(DADOS!$C$11="SAC",IF(A264&lt;=$M$4,D264,$M$7 + D264),IF(DADOS!$C$11="AMERICANO",IF(A264&lt;$M$3,D264,D264+C264),0))))</f>
        <v>0</v>
      </c>
      <c r="F264" s="14">
        <f>IF(A264&gt;$M$3,0,DADOS!$C$18)</f>
        <v>0</v>
      </c>
      <c r="G264" s="14">
        <f>IF(A264&gt;$M$3,0,B264*DADOS!$C$19)</f>
        <v>0</v>
      </c>
      <c r="H264" s="14">
        <f t="shared" si="17"/>
        <v>0</v>
      </c>
      <c r="I264" s="14">
        <f t="shared" si="18"/>
        <v>0</v>
      </c>
      <c r="J264" s="14">
        <f t="shared" si="19"/>
        <v>0</v>
      </c>
    </row>
    <row r="265" spans="1:10" x14ac:dyDescent="0.25">
      <c r="A265" s="15">
        <v>259</v>
      </c>
      <c r="B265" s="14">
        <f>IF(A265&gt;$M$3,0,IF(A265=1,DADOS!$C$7,I264))</f>
        <v>0</v>
      </c>
      <c r="C265" s="14">
        <f>IF(A265&gt;$M$3,0,IF(DADOS!$C$11="PRICE",IF(A265&lt;=$M$4,0,MAX(0,E265-D265)),IF(DADOS!$C$11="SAC",IF(A265&lt;=$M$4,0,MIN($M$7,B265)),IF(DADOS!$C$11="AMERICANO",IF(A265=$M$3,MIN(DADOS!$C$7,B265),0),0))))</f>
        <v>0</v>
      </c>
      <c r="D265" s="14">
        <f t="shared" si="16"/>
        <v>0</v>
      </c>
      <c r="E265" s="14">
        <f>IF(A265&gt;$M$3,0,IF(DADOS!$C$11="PRICE",IF(A265&lt;=$M$4,D265,$M$6),IF(DADOS!$C$11="SAC",IF(A265&lt;=$M$4,D265,$M$7 + D265),IF(DADOS!$C$11="AMERICANO",IF(A265&lt;$M$3,D265,D265+C265),0))))</f>
        <v>0</v>
      </c>
      <c r="F265" s="14">
        <f>IF(A265&gt;$M$3,0,DADOS!$C$18)</f>
        <v>0</v>
      </c>
      <c r="G265" s="14">
        <f>IF(A265&gt;$M$3,0,B265*DADOS!$C$19)</f>
        <v>0</v>
      </c>
      <c r="H265" s="14">
        <f t="shared" si="17"/>
        <v>0</v>
      </c>
      <c r="I265" s="14">
        <f t="shared" si="18"/>
        <v>0</v>
      </c>
      <c r="J265" s="14">
        <f t="shared" si="19"/>
        <v>0</v>
      </c>
    </row>
    <row r="266" spans="1:10" x14ac:dyDescent="0.25">
      <c r="A266" s="15">
        <v>260</v>
      </c>
      <c r="B266" s="14">
        <f>IF(A266&gt;$M$3,0,IF(A266=1,DADOS!$C$7,I265))</f>
        <v>0</v>
      </c>
      <c r="C266" s="14">
        <f>IF(A266&gt;$M$3,0,IF(DADOS!$C$11="PRICE",IF(A266&lt;=$M$4,0,MAX(0,E266-D266)),IF(DADOS!$C$11="SAC",IF(A266&lt;=$M$4,0,MIN($M$7,B266)),IF(DADOS!$C$11="AMERICANO",IF(A266=$M$3,MIN(DADOS!$C$7,B266),0),0))))</f>
        <v>0</v>
      </c>
      <c r="D266" s="14">
        <f t="shared" si="16"/>
        <v>0</v>
      </c>
      <c r="E266" s="14">
        <f>IF(A266&gt;$M$3,0,IF(DADOS!$C$11="PRICE",IF(A266&lt;=$M$4,D266,$M$6),IF(DADOS!$C$11="SAC",IF(A266&lt;=$M$4,D266,$M$7 + D266),IF(DADOS!$C$11="AMERICANO",IF(A266&lt;$M$3,D266,D266+C266),0))))</f>
        <v>0</v>
      </c>
      <c r="F266" s="14">
        <f>IF(A266&gt;$M$3,0,DADOS!$C$18)</f>
        <v>0</v>
      </c>
      <c r="G266" s="14">
        <f>IF(A266&gt;$M$3,0,B266*DADOS!$C$19)</f>
        <v>0</v>
      </c>
      <c r="H266" s="14">
        <f t="shared" si="17"/>
        <v>0</v>
      </c>
      <c r="I266" s="14">
        <f t="shared" si="18"/>
        <v>0</v>
      </c>
      <c r="J266" s="14">
        <f t="shared" si="19"/>
        <v>0</v>
      </c>
    </row>
    <row r="267" spans="1:10" x14ac:dyDescent="0.25">
      <c r="A267" s="15">
        <v>261</v>
      </c>
      <c r="B267" s="14">
        <f>IF(A267&gt;$M$3,0,IF(A267=1,DADOS!$C$7,I266))</f>
        <v>0</v>
      </c>
      <c r="C267" s="14">
        <f>IF(A267&gt;$M$3,0,IF(DADOS!$C$11="PRICE",IF(A267&lt;=$M$4,0,MAX(0,E267-D267)),IF(DADOS!$C$11="SAC",IF(A267&lt;=$M$4,0,MIN($M$7,B267)),IF(DADOS!$C$11="AMERICANO",IF(A267=$M$3,MIN(DADOS!$C$7,B267),0),0))))</f>
        <v>0</v>
      </c>
      <c r="D267" s="14">
        <f t="shared" si="16"/>
        <v>0</v>
      </c>
      <c r="E267" s="14">
        <f>IF(A267&gt;$M$3,0,IF(DADOS!$C$11="PRICE",IF(A267&lt;=$M$4,D267,$M$6),IF(DADOS!$C$11="SAC",IF(A267&lt;=$M$4,D267,$M$7 + D267),IF(DADOS!$C$11="AMERICANO",IF(A267&lt;$M$3,D267,D267+C267),0))))</f>
        <v>0</v>
      </c>
      <c r="F267" s="14">
        <f>IF(A267&gt;$M$3,0,DADOS!$C$18)</f>
        <v>0</v>
      </c>
      <c r="G267" s="14">
        <f>IF(A267&gt;$M$3,0,B267*DADOS!$C$19)</f>
        <v>0</v>
      </c>
      <c r="H267" s="14">
        <f t="shared" si="17"/>
        <v>0</v>
      </c>
      <c r="I267" s="14">
        <f t="shared" si="18"/>
        <v>0</v>
      </c>
      <c r="J267" s="14">
        <f t="shared" si="19"/>
        <v>0</v>
      </c>
    </row>
    <row r="268" spans="1:10" x14ac:dyDescent="0.25">
      <c r="A268" s="15">
        <v>262</v>
      </c>
      <c r="B268" s="14">
        <f>IF(A268&gt;$M$3,0,IF(A268=1,DADOS!$C$7,I267))</f>
        <v>0</v>
      </c>
      <c r="C268" s="14">
        <f>IF(A268&gt;$M$3,0,IF(DADOS!$C$11="PRICE",IF(A268&lt;=$M$4,0,MAX(0,E268-D268)),IF(DADOS!$C$11="SAC",IF(A268&lt;=$M$4,0,MIN($M$7,B268)),IF(DADOS!$C$11="AMERICANO",IF(A268=$M$3,MIN(DADOS!$C$7,B268),0),0))))</f>
        <v>0</v>
      </c>
      <c r="D268" s="14">
        <f t="shared" si="16"/>
        <v>0</v>
      </c>
      <c r="E268" s="14">
        <f>IF(A268&gt;$M$3,0,IF(DADOS!$C$11="PRICE",IF(A268&lt;=$M$4,D268,$M$6),IF(DADOS!$C$11="SAC",IF(A268&lt;=$M$4,D268,$M$7 + D268),IF(DADOS!$C$11="AMERICANO",IF(A268&lt;$M$3,D268,D268+C268),0))))</f>
        <v>0</v>
      </c>
      <c r="F268" s="14">
        <f>IF(A268&gt;$M$3,0,DADOS!$C$18)</f>
        <v>0</v>
      </c>
      <c r="G268" s="14">
        <f>IF(A268&gt;$M$3,0,B268*DADOS!$C$19)</f>
        <v>0</v>
      </c>
      <c r="H268" s="14">
        <f t="shared" si="17"/>
        <v>0</v>
      </c>
      <c r="I268" s="14">
        <f t="shared" si="18"/>
        <v>0</v>
      </c>
      <c r="J268" s="14">
        <f t="shared" si="19"/>
        <v>0</v>
      </c>
    </row>
    <row r="269" spans="1:10" x14ac:dyDescent="0.25">
      <c r="A269" s="15">
        <v>263</v>
      </c>
      <c r="B269" s="14">
        <f>IF(A269&gt;$M$3,0,IF(A269=1,DADOS!$C$7,I268))</f>
        <v>0</v>
      </c>
      <c r="C269" s="14">
        <f>IF(A269&gt;$M$3,0,IF(DADOS!$C$11="PRICE",IF(A269&lt;=$M$4,0,MAX(0,E269-D269)),IF(DADOS!$C$11="SAC",IF(A269&lt;=$M$4,0,MIN($M$7,B269)),IF(DADOS!$C$11="AMERICANO",IF(A269=$M$3,MIN(DADOS!$C$7,B269),0),0))))</f>
        <v>0</v>
      </c>
      <c r="D269" s="14">
        <f t="shared" si="16"/>
        <v>0</v>
      </c>
      <c r="E269" s="14">
        <f>IF(A269&gt;$M$3,0,IF(DADOS!$C$11="PRICE",IF(A269&lt;=$M$4,D269,$M$6),IF(DADOS!$C$11="SAC",IF(A269&lt;=$M$4,D269,$M$7 + D269),IF(DADOS!$C$11="AMERICANO",IF(A269&lt;$M$3,D269,D269+C269),0))))</f>
        <v>0</v>
      </c>
      <c r="F269" s="14">
        <f>IF(A269&gt;$M$3,0,DADOS!$C$18)</f>
        <v>0</v>
      </c>
      <c r="G269" s="14">
        <f>IF(A269&gt;$M$3,0,B269*DADOS!$C$19)</f>
        <v>0</v>
      </c>
      <c r="H269" s="14">
        <f t="shared" si="17"/>
        <v>0</v>
      </c>
      <c r="I269" s="14">
        <f t="shared" si="18"/>
        <v>0</v>
      </c>
      <c r="J269" s="14">
        <f t="shared" si="19"/>
        <v>0</v>
      </c>
    </row>
    <row r="270" spans="1:10" x14ac:dyDescent="0.25">
      <c r="A270" s="15">
        <v>264</v>
      </c>
      <c r="B270" s="14">
        <f>IF(A270&gt;$M$3,0,IF(A270=1,DADOS!$C$7,I269))</f>
        <v>0</v>
      </c>
      <c r="C270" s="14">
        <f>IF(A270&gt;$M$3,0,IF(DADOS!$C$11="PRICE",IF(A270&lt;=$M$4,0,MAX(0,E270-D270)),IF(DADOS!$C$11="SAC",IF(A270&lt;=$M$4,0,MIN($M$7,B270)),IF(DADOS!$C$11="AMERICANO",IF(A270=$M$3,MIN(DADOS!$C$7,B270),0),0))))</f>
        <v>0</v>
      </c>
      <c r="D270" s="14">
        <f t="shared" si="16"/>
        <v>0</v>
      </c>
      <c r="E270" s="14">
        <f>IF(A270&gt;$M$3,0,IF(DADOS!$C$11="PRICE",IF(A270&lt;=$M$4,D270,$M$6),IF(DADOS!$C$11="SAC",IF(A270&lt;=$M$4,D270,$M$7 + D270),IF(DADOS!$C$11="AMERICANO",IF(A270&lt;$M$3,D270,D270+C270),0))))</f>
        <v>0</v>
      </c>
      <c r="F270" s="14">
        <f>IF(A270&gt;$M$3,0,DADOS!$C$18)</f>
        <v>0</v>
      </c>
      <c r="G270" s="14">
        <f>IF(A270&gt;$M$3,0,B270*DADOS!$C$19)</f>
        <v>0</v>
      </c>
      <c r="H270" s="14">
        <f t="shared" si="17"/>
        <v>0</v>
      </c>
      <c r="I270" s="14">
        <f t="shared" si="18"/>
        <v>0</v>
      </c>
      <c r="J270" s="14">
        <f t="shared" si="19"/>
        <v>0</v>
      </c>
    </row>
    <row r="271" spans="1:10" x14ac:dyDescent="0.25">
      <c r="A271" s="15">
        <v>265</v>
      </c>
      <c r="B271" s="14">
        <f>IF(A271&gt;$M$3,0,IF(A271=1,DADOS!$C$7,I270))</f>
        <v>0</v>
      </c>
      <c r="C271" s="14">
        <f>IF(A271&gt;$M$3,0,IF(DADOS!$C$11="PRICE",IF(A271&lt;=$M$4,0,MAX(0,E271-D271)),IF(DADOS!$C$11="SAC",IF(A271&lt;=$M$4,0,MIN($M$7,B271)),IF(DADOS!$C$11="AMERICANO",IF(A271=$M$3,MIN(DADOS!$C$7,B271),0),0))))</f>
        <v>0</v>
      </c>
      <c r="D271" s="14">
        <f t="shared" si="16"/>
        <v>0</v>
      </c>
      <c r="E271" s="14">
        <f>IF(A271&gt;$M$3,0,IF(DADOS!$C$11="PRICE",IF(A271&lt;=$M$4,D271,$M$6),IF(DADOS!$C$11="SAC",IF(A271&lt;=$M$4,D271,$M$7 + D271),IF(DADOS!$C$11="AMERICANO",IF(A271&lt;$M$3,D271,D271+C271),0))))</f>
        <v>0</v>
      </c>
      <c r="F271" s="14">
        <f>IF(A271&gt;$M$3,0,DADOS!$C$18)</f>
        <v>0</v>
      </c>
      <c r="G271" s="14">
        <f>IF(A271&gt;$M$3,0,B271*DADOS!$C$19)</f>
        <v>0</v>
      </c>
      <c r="H271" s="14">
        <f t="shared" si="17"/>
        <v>0</v>
      </c>
      <c r="I271" s="14">
        <f t="shared" si="18"/>
        <v>0</v>
      </c>
      <c r="J271" s="14">
        <f t="shared" si="19"/>
        <v>0</v>
      </c>
    </row>
    <row r="272" spans="1:10" x14ac:dyDescent="0.25">
      <c r="A272" s="15">
        <v>266</v>
      </c>
      <c r="B272" s="14">
        <f>IF(A272&gt;$M$3,0,IF(A272=1,DADOS!$C$7,I271))</f>
        <v>0</v>
      </c>
      <c r="C272" s="14">
        <f>IF(A272&gt;$M$3,0,IF(DADOS!$C$11="PRICE",IF(A272&lt;=$M$4,0,MAX(0,E272-D272)),IF(DADOS!$C$11="SAC",IF(A272&lt;=$M$4,0,MIN($M$7,B272)),IF(DADOS!$C$11="AMERICANO",IF(A272=$M$3,MIN(DADOS!$C$7,B272),0),0))))</f>
        <v>0</v>
      </c>
      <c r="D272" s="14">
        <f t="shared" si="16"/>
        <v>0</v>
      </c>
      <c r="E272" s="14">
        <f>IF(A272&gt;$M$3,0,IF(DADOS!$C$11="PRICE",IF(A272&lt;=$M$4,D272,$M$6),IF(DADOS!$C$11="SAC",IF(A272&lt;=$M$4,D272,$M$7 + D272),IF(DADOS!$C$11="AMERICANO",IF(A272&lt;$M$3,D272,D272+C272),0))))</f>
        <v>0</v>
      </c>
      <c r="F272" s="14">
        <f>IF(A272&gt;$M$3,0,DADOS!$C$18)</f>
        <v>0</v>
      </c>
      <c r="G272" s="14">
        <f>IF(A272&gt;$M$3,0,B272*DADOS!$C$19)</f>
        <v>0</v>
      </c>
      <c r="H272" s="14">
        <f t="shared" si="17"/>
        <v>0</v>
      </c>
      <c r="I272" s="14">
        <f t="shared" si="18"/>
        <v>0</v>
      </c>
      <c r="J272" s="14">
        <f t="shared" si="19"/>
        <v>0</v>
      </c>
    </row>
    <row r="273" spans="1:10" x14ac:dyDescent="0.25">
      <c r="A273" s="15">
        <v>267</v>
      </c>
      <c r="B273" s="14">
        <f>IF(A273&gt;$M$3,0,IF(A273=1,DADOS!$C$7,I272))</f>
        <v>0</v>
      </c>
      <c r="C273" s="14">
        <f>IF(A273&gt;$M$3,0,IF(DADOS!$C$11="PRICE",IF(A273&lt;=$M$4,0,MAX(0,E273-D273)),IF(DADOS!$C$11="SAC",IF(A273&lt;=$M$4,0,MIN($M$7,B273)),IF(DADOS!$C$11="AMERICANO",IF(A273=$M$3,MIN(DADOS!$C$7,B273),0),0))))</f>
        <v>0</v>
      </c>
      <c r="D273" s="14">
        <f t="shared" si="16"/>
        <v>0</v>
      </c>
      <c r="E273" s="14">
        <f>IF(A273&gt;$M$3,0,IF(DADOS!$C$11="PRICE",IF(A273&lt;=$M$4,D273,$M$6),IF(DADOS!$C$11="SAC",IF(A273&lt;=$M$4,D273,$M$7 + D273),IF(DADOS!$C$11="AMERICANO",IF(A273&lt;$M$3,D273,D273+C273),0))))</f>
        <v>0</v>
      </c>
      <c r="F273" s="14">
        <f>IF(A273&gt;$M$3,0,DADOS!$C$18)</f>
        <v>0</v>
      </c>
      <c r="G273" s="14">
        <f>IF(A273&gt;$M$3,0,B273*DADOS!$C$19)</f>
        <v>0</v>
      </c>
      <c r="H273" s="14">
        <f t="shared" si="17"/>
        <v>0</v>
      </c>
      <c r="I273" s="14">
        <f t="shared" si="18"/>
        <v>0</v>
      </c>
      <c r="J273" s="14">
        <f t="shared" si="19"/>
        <v>0</v>
      </c>
    </row>
    <row r="274" spans="1:10" x14ac:dyDescent="0.25">
      <c r="A274" s="15">
        <v>268</v>
      </c>
      <c r="B274" s="14">
        <f>IF(A274&gt;$M$3,0,IF(A274=1,DADOS!$C$7,I273))</f>
        <v>0</v>
      </c>
      <c r="C274" s="14">
        <f>IF(A274&gt;$M$3,0,IF(DADOS!$C$11="PRICE",IF(A274&lt;=$M$4,0,MAX(0,E274-D274)),IF(DADOS!$C$11="SAC",IF(A274&lt;=$M$4,0,MIN($M$7,B274)),IF(DADOS!$C$11="AMERICANO",IF(A274=$M$3,MIN(DADOS!$C$7,B274),0),0))))</f>
        <v>0</v>
      </c>
      <c r="D274" s="14">
        <f t="shared" si="16"/>
        <v>0</v>
      </c>
      <c r="E274" s="14">
        <f>IF(A274&gt;$M$3,0,IF(DADOS!$C$11="PRICE",IF(A274&lt;=$M$4,D274,$M$6),IF(DADOS!$C$11="SAC",IF(A274&lt;=$M$4,D274,$M$7 + D274),IF(DADOS!$C$11="AMERICANO",IF(A274&lt;$M$3,D274,D274+C274),0))))</f>
        <v>0</v>
      </c>
      <c r="F274" s="14">
        <f>IF(A274&gt;$M$3,0,DADOS!$C$18)</f>
        <v>0</v>
      </c>
      <c r="G274" s="14">
        <f>IF(A274&gt;$M$3,0,B274*DADOS!$C$19)</f>
        <v>0</v>
      </c>
      <c r="H274" s="14">
        <f t="shared" si="17"/>
        <v>0</v>
      </c>
      <c r="I274" s="14">
        <f t="shared" si="18"/>
        <v>0</v>
      </c>
      <c r="J274" s="14">
        <f t="shared" si="19"/>
        <v>0</v>
      </c>
    </row>
    <row r="275" spans="1:10" x14ac:dyDescent="0.25">
      <c r="A275" s="15">
        <v>269</v>
      </c>
      <c r="B275" s="14">
        <f>IF(A275&gt;$M$3,0,IF(A275=1,DADOS!$C$7,I274))</f>
        <v>0</v>
      </c>
      <c r="C275" s="14">
        <f>IF(A275&gt;$M$3,0,IF(DADOS!$C$11="PRICE",IF(A275&lt;=$M$4,0,MAX(0,E275-D275)),IF(DADOS!$C$11="SAC",IF(A275&lt;=$M$4,0,MIN($M$7,B275)),IF(DADOS!$C$11="AMERICANO",IF(A275=$M$3,MIN(DADOS!$C$7,B275),0),0))))</f>
        <v>0</v>
      </c>
      <c r="D275" s="14">
        <f t="shared" si="16"/>
        <v>0</v>
      </c>
      <c r="E275" s="14">
        <f>IF(A275&gt;$M$3,0,IF(DADOS!$C$11="PRICE",IF(A275&lt;=$M$4,D275,$M$6),IF(DADOS!$C$11="SAC",IF(A275&lt;=$M$4,D275,$M$7 + D275),IF(DADOS!$C$11="AMERICANO",IF(A275&lt;$M$3,D275,D275+C275),0))))</f>
        <v>0</v>
      </c>
      <c r="F275" s="14">
        <f>IF(A275&gt;$M$3,0,DADOS!$C$18)</f>
        <v>0</v>
      </c>
      <c r="G275" s="14">
        <f>IF(A275&gt;$M$3,0,B275*DADOS!$C$19)</f>
        <v>0</v>
      </c>
      <c r="H275" s="14">
        <f t="shared" si="17"/>
        <v>0</v>
      </c>
      <c r="I275" s="14">
        <f t="shared" si="18"/>
        <v>0</v>
      </c>
      <c r="J275" s="14">
        <f t="shared" si="19"/>
        <v>0</v>
      </c>
    </row>
    <row r="276" spans="1:10" x14ac:dyDescent="0.25">
      <c r="A276" s="15">
        <v>270</v>
      </c>
      <c r="B276" s="14">
        <f>IF(A276&gt;$M$3,0,IF(A276=1,DADOS!$C$7,I275))</f>
        <v>0</v>
      </c>
      <c r="C276" s="14">
        <f>IF(A276&gt;$M$3,0,IF(DADOS!$C$11="PRICE",IF(A276&lt;=$M$4,0,MAX(0,E276-D276)),IF(DADOS!$C$11="SAC",IF(A276&lt;=$M$4,0,MIN($M$7,B276)),IF(DADOS!$C$11="AMERICANO",IF(A276=$M$3,MIN(DADOS!$C$7,B276),0),0))))</f>
        <v>0</v>
      </c>
      <c r="D276" s="14">
        <f t="shared" si="16"/>
        <v>0</v>
      </c>
      <c r="E276" s="14">
        <f>IF(A276&gt;$M$3,0,IF(DADOS!$C$11="PRICE",IF(A276&lt;=$M$4,D276,$M$6),IF(DADOS!$C$11="SAC",IF(A276&lt;=$M$4,D276,$M$7 + D276),IF(DADOS!$C$11="AMERICANO",IF(A276&lt;$M$3,D276,D276+C276),0))))</f>
        <v>0</v>
      </c>
      <c r="F276" s="14">
        <f>IF(A276&gt;$M$3,0,DADOS!$C$18)</f>
        <v>0</v>
      </c>
      <c r="G276" s="14">
        <f>IF(A276&gt;$M$3,0,B276*DADOS!$C$19)</f>
        <v>0</v>
      </c>
      <c r="H276" s="14">
        <f t="shared" si="17"/>
        <v>0</v>
      </c>
      <c r="I276" s="14">
        <f t="shared" si="18"/>
        <v>0</v>
      </c>
      <c r="J276" s="14">
        <f t="shared" si="19"/>
        <v>0</v>
      </c>
    </row>
    <row r="277" spans="1:10" x14ac:dyDescent="0.25">
      <c r="A277" s="15">
        <v>271</v>
      </c>
      <c r="B277" s="14">
        <f>IF(A277&gt;$M$3,0,IF(A277=1,DADOS!$C$7,I276))</f>
        <v>0</v>
      </c>
      <c r="C277" s="14">
        <f>IF(A277&gt;$M$3,0,IF(DADOS!$C$11="PRICE",IF(A277&lt;=$M$4,0,MAX(0,E277-D277)),IF(DADOS!$C$11="SAC",IF(A277&lt;=$M$4,0,MIN($M$7,B277)),IF(DADOS!$C$11="AMERICANO",IF(A277=$M$3,MIN(DADOS!$C$7,B277),0),0))))</f>
        <v>0</v>
      </c>
      <c r="D277" s="14">
        <f t="shared" si="16"/>
        <v>0</v>
      </c>
      <c r="E277" s="14">
        <f>IF(A277&gt;$M$3,0,IF(DADOS!$C$11="PRICE",IF(A277&lt;=$M$4,D277,$M$6),IF(DADOS!$C$11="SAC",IF(A277&lt;=$M$4,D277,$M$7 + D277),IF(DADOS!$C$11="AMERICANO",IF(A277&lt;$M$3,D277,D277+C277),0))))</f>
        <v>0</v>
      </c>
      <c r="F277" s="14">
        <f>IF(A277&gt;$M$3,0,DADOS!$C$18)</f>
        <v>0</v>
      </c>
      <c r="G277" s="14">
        <f>IF(A277&gt;$M$3,0,B277*DADOS!$C$19)</f>
        <v>0</v>
      </c>
      <c r="H277" s="14">
        <f t="shared" si="17"/>
        <v>0</v>
      </c>
      <c r="I277" s="14">
        <f t="shared" si="18"/>
        <v>0</v>
      </c>
      <c r="J277" s="14">
        <f t="shared" si="19"/>
        <v>0</v>
      </c>
    </row>
    <row r="278" spans="1:10" x14ac:dyDescent="0.25">
      <c r="A278" s="15">
        <v>272</v>
      </c>
      <c r="B278" s="14">
        <f>IF(A278&gt;$M$3,0,IF(A278=1,DADOS!$C$7,I277))</f>
        <v>0</v>
      </c>
      <c r="C278" s="14">
        <f>IF(A278&gt;$M$3,0,IF(DADOS!$C$11="PRICE",IF(A278&lt;=$M$4,0,MAX(0,E278-D278)),IF(DADOS!$C$11="SAC",IF(A278&lt;=$M$4,0,MIN($M$7,B278)),IF(DADOS!$C$11="AMERICANO",IF(A278=$M$3,MIN(DADOS!$C$7,B278),0),0))))</f>
        <v>0</v>
      </c>
      <c r="D278" s="14">
        <f t="shared" si="16"/>
        <v>0</v>
      </c>
      <c r="E278" s="14">
        <f>IF(A278&gt;$M$3,0,IF(DADOS!$C$11="PRICE",IF(A278&lt;=$M$4,D278,$M$6),IF(DADOS!$C$11="SAC",IF(A278&lt;=$M$4,D278,$M$7 + D278),IF(DADOS!$C$11="AMERICANO",IF(A278&lt;$M$3,D278,D278+C278),0))))</f>
        <v>0</v>
      </c>
      <c r="F278" s="14">
        <f>IF(A278&gt;$M$3,0,DADOS!$C$18)</f>
        <v>0</v>
      </c>
      <c r="G278" s="14">
        <f>IF(A278&gt;$M$3,0,B278*DADOS!$C$19)</f>
        <v>0</v>
      </c>
      <c r="H278" s="14">
        <f t="shared" si="17"/>
        <v>0</v>
      </c>
      <c r="I278" s="14">
        <f t="shared" si="18"/>
        <v>0</v>
      </c>
      <c r="J278" s="14">
        <f t="shared" si="19"/>
        <v>0</v>
      </c>
    </row>
    <row r="279" spans="1:10" x14ac:dyDescent="0.25">
      <c r="A279" s="15">
        <v>273</v>
      </c>
      <c r="B279" s="14">
        <f>IF(A279&gt;$M$3,0,IF(A279=1,DADOS!$C$7,I278))</f>
        <v>0</v>
      </c>
      <c r="C279" s="14">
        <f>IF(A279&gt;$M$3,0,IF(DADOS!$C$11="PRICE",IF(A279&lt;=$M$4,0,MAX(0,E279-D279)),IF(DADOS!$C$11="SAC",IF(A279&lt;=$M$4,0,MIN($M$7,B279)),IF(DADOS!$C$11="AMERICANO",IF(A279=$M$3,MIN(DADOS!$C$7,B279),0),0))))</f>
        <v>0</v>
      </c>
      <c r="D279" s="14">
        <f t="shared" si="16"/>
        <v>0</v>
      </c>
      <c r="E279" s="14">
        <f>IF(A279&gt;$M$3,0,IF(DADOS!$C$11="PRICE",IF(A279&lt;=$M$4,D279,$M$6),IF(DADOS!$C$11="SAC",IF(A279&lt;=$M$4,D279,$M$7 + D279),IF(DADOS!$C$11="AMERICANO",IF(A279&lt;$M$3,D279,D279+C279),0))))</f>
        <v>0</v>
      </c>
      <c r="F279" s="14">
        <f>IF(A279&gt;$M$3,0,DADOS!$C$18)</f>
        <v>0</v>
      </c>
      <c r="G279" s="14">
        <f>IF(A279&gt;$M$3,0,B279*DADOS!$C$19)</f>
        <v>0</v>
      </c>
      <c r="H279" s="14">
        <f t="shared" si="17"/>
        <v>0</v>
      </c>
      <c r="I279" s="14">
        <f t="shared" si="18"/>
        <v>0</v>
      </c>
      <c r="J279" s="14">
        <f t="shared" si="19"/>
        <v>0</v>
      </c>
    </row>
    <row r="280" spans="1:10" x14ac:dyDescent="0.25">
      <c r="A280" s="15">
        <v>274</v>
      </c>
      <c r="B280" s="14">
        <f>IF(A280&gt;$M$3,0,IF(A280=1,DADOS!$C$7,I279))</f>
        <v>0</v>
      </c>
      <c r="C280" s="14">
        <f>IF(A280&gt;$M$3,0,IF(DADOS!$C$11="PRICE",IF(A280&lt;=$M$4,0,MAX(0,E280-D280)),IF(DADOS!$C$11="SAC",IF(A280&lt;=$M$4,0,MIN($M$7,B280)),IF(DADOS!$C$11="AMERICANO",IF(A280=$M$3,MIN(DADOS!$C$7,B280),0),0))))</f>
        <v>0</v>
      </c>
      <c r="D280" s="14">
        <f t="shared" si="16"/>
        <v>0</v>
      </c>
      <c r="E280" s="14">
        <f>IF(A280&gt;$M$3,0,IF(DADOS!$C$11="PRICE",IF(A280&lt;=$M$4,D280,$M$6),IF(DADOS!$C$11="SAC",IF(A280&lt;=$M$4,D280,$M$7 + D280),IF(DADOS!$C$11="AMERICANO",IF(A280&lt;$M$3,D280,D280+C280),0))))</f>
        <v>0</v>
      </c>
      <c r="F280" s="14">
        <f>IF(A280&gt;$M$3,0,DADOS!$C$18)</f>
        <v>0</v>
      </c>
      <c r="G280" s="14">
        <f>IF(A280&gt;$M$3,0,B280*DADOS!$C$19)</f>
        <v>0</v>
      </c>
      <c r="H280" s="14">
        <f t="shared" si="17"/>
        <v>0</v>
      </c>
      <c r="I280" s="14">
        <f t="shared" si="18"/>
        <v>0</v>
      </c>
      <c r="J280" s="14">
        <f t="shared" si="19"/>
        <v>0</v>
      </c>
    </row>
    <row r="281" spans="1:10" x14ac:dyDescent="0.25">
      <c r="A281" s="15">
        <v>275</v>
      </c>
      <c r="B281" s="14">
        <f>IF(A281&gt;$M$3,0,IF(A281=1,DADOS!$C$7,I280))</f>
        <v>0</v>
      </c>
      <c r="C281" s="14">
        <f>IF(A281&gt;$M$3,0,IF(DADOS!$C$11="PRICE",IF(A281&lt;=$M$4,0,MAX(0,E281-D281)),IF(DADOS!$C$11="SAC",IF(A281&lt;=$M$4,0,MIN($M$7,B281)),IF(DADOS!$C$11="AMERICANO",IF(A281=$M$3,MIN(DADOS!$C$7,B281),0),0))))</f>
        <v>0</v>
      </c>
      <c r="D281" s="14">
        <f t="shared" si="16"/>
        <v>0</v>
      </c>
      <c r="E281" s="14">
        <f>IF(A281&gt;$M$3,0,IF(DADOS!$C$11="PRICE",IF(A281&lt;=$M$4,D281,$M$6),IF(DADOS!$C$11="SAC",IF(A281&lt;=$M$4,D281,$M$7 + D281),IF(DADOS!$C$11="AMERICANO",IF(A281&lt;$M$3,D281,D281+C281),0))))</f>
        <v>0</v>
      </c>
      <c r="F281" s="14">
        <f>IF(A281&gt;$M$3,0,DADOS!$C$18)</f>
        <v>0</v>
      </c>
      <c r="G281" s="14">
        <f>IF(A281&gt;$M$3,0,B281*DADOS!$C$19)</f>
        <v>0</v>
      </c>
      <c r="H281" s="14">
        <f t="shared" si="17"/>
        <v>0</v>
      </c>
      <c r="I281" s="14">
        <f t="shared" si="18"/>
        <v>0</v>
      </c>
      <c r="J281" s="14">
        <f t="shared" si="19"/>
        <v>0</v>
      </c>
    </row>
    <row r="282" spans="1:10" x14ac:dyDescent="0.25">
      <c r="A282" s="15">
        <v>276</v>
      </c>
      <c r="B282" s="14">
        <f>IF(A282&gt;$M$3,0,IF(A282=1,DADOS!$C$7,I281))</f>
        <v>0</v>
      </c>
      <c r="C282" s="14">
        <f>IF(A282&gt;$M$3,0,IF(DADOS!$C$11="PRICE",IF(A282&lt;=$M$4,0,MAX(0,E282-D282)),IF(DADOS!$C$11="SAC",IF(A282&lt;=$M$4,0,MIN($M$7,B282)),IF(DADOS!$C$11="AMERICANO",IF(A282=$M$3,MIN(DADOS!$C$7,B282),0),0))))</f>
        <v>0</v>
      </c>
      <c r="D282" s="14">
        <f t="shared" si="16"/>
        <v>0</v>
      </c>
      <c r="E282" s="14">
        <f>IF(A282&gt;$M$3,0,IF(DADOS!$C$11="PRICE",IF(A282&lt;=$M$4,D282,$M$6),IF(DADOS!$C$11="SAC",IF(A282&lt;=$M$4,D282,$M$7 + D282),IF(DADOS!$C$11="AMERICANO",IF(A282&lt;$M$3,D282,D282+C282),0))))</f>
        <v>0</v>
      </c>
      <c r="F282" s="14">
        <f>IF(A282&gt;$M$3,0,DADOS!$C$18)</f>
        <v>0</v>
      </c>
      <c r="G282" s="14">
        <f>IF(A282&gt;$M$3,0,B282*DADOS!$C$19)</f>
        <v>0</v>
      </c>
      <c r="H282" s="14">
        <f t="shared" si="17"/>
        <v>0</v>
      </c>
      <c r="I282" s="14">
        <f t="shared" si="18"/>
        <v>0</v>
      </c>
      <c r="J282" s="14">
        <f t="shared" si="19"/>
        <v>0</v>
      </c>
    </row>
    <row r="283" spans="1:10" x14ac:dyDescent="0.25">
      <c r="A283" s="15">
        <v>277</v>
      </c>
      <c r="B283" s="14">
        <f>IF(A283&gt;$M$3,0,IF(A283=1,DADOS!$C$7,I282))</f>
        <v>0</v>
      </c>
      <c r="C283" s="14">
        <f>IF(A283&gt;$M$3,0,IF(DADOS!$C$11="PRICE",IF(A283&lt;=$M$4,0,MAX(0,E283-D283)),IF(DADOS!$C$11="SAC",IF(A283&lt;=$M$4,0,MIN($M$7,B283)),IF(DADOS!$C$11="AMERICANO",IF(A283=$M$3,MIN(DADOS!$C$7,B283),0),0))))</f>
        <v>0</v>
      </c>
      <c r="D283" s="14">
        <f t="shared" si="16"/>
        <v>0</v>
      </c>
      <c r="E283" s="14">
        <f>IF(A283&gt;$M$3,0,IF(DADOS!$C$11="PRICE",IF(A283&lt;=$M$4,D283,$M$6),IF(DADOS!$C$11="SAC",IF(A283&lt;=$M$4,D283,$M$7 + D283),IF(DADOS!$C$11="AMERICANO",IF(A283&lt;$M$3,D283,D283+C283),0))))</f>
        <v>0</v>
      </c>
      <c r="F283" s="14">
        <f>IF(A283&gt;$M$3,0,DADOS!$C$18)</f>
        <v>0</v>
      </c>
      <c r="G283" s="14">
        <f>IF(A283&gt;$M$3,0,B283*DADOS!$C$19)</f>
        <v>0</v>
      </c>
      <c r="H283" s="14">
        <f t="shared" si="17"/>
        <v>0</v>
      </c>
      <c r="I283" s="14">
        <f t="shared" si="18"/>
        <v>0</v>
      </c>
      <c r="J283" s="14">
        <f t="shared" si="19"/>
        <v>0</v>
      </c>
    </row>
    <row r="284" spans="1:10" x14ac:dyDescent="0.25">
      <c r="A284" s="15">
        <v>278</v>
      </c>
      <c r="B284" s="14">
        <f>IF(A284&gt;$M$3,0,IF(A284=1,DADOS!$C$7,I283))</f>
        <v>0</v>
      </c>
      <c r="C284" s="14">
        <f>IF(A284&gt;$M$3,0,IF(DADOS!$C$11="PRICE",IF(A284&lt;=$M$4,0,MAX(0,E284-D284)),IF(DADOS!$C$11="SAC",IF(A284&lt;=$M$4,0,MIN($M$7,B284)),IF(DADOS!$C$11="AMERICANO",IF(A284=$M$3,MIN(DADOS!$C$7,B284),0),0))))</f>
        <v>0</v>
      </c>
      <c r="D284" s="14">
        <f t="shared" si="16"/>
        <v>0</v>
      </c>
      <c r="E284" s="14">
        <f>IF(A284&gt;$M$3,0,IF(DADOS!$C$11="PRICE",IF(A284&lt;=$M$4,D284,$M$6),IF(DADOS!$C$11="SAC",IF(A284&lt;=$M$4,D284,$M$7 + D284),IF(DADOS!$C$11="AMERICANO",IF(A284&lt;$M$3,D284,D284+C284),0))))</f>
        <v>0</v>
      </c>
      <c r="F284" s="14">
        <f>IF(A284&gt;$M$3,0,DADOS!$C$18)</f>
        <v>0</v>
      </c>
      <c r="G284" s="14">
        <f>IF(A284&gt;$M$3,0,B284*DADOS!$C$19)</f>
        <v>0</v>
      </c>
      <c r="H284" s="14">
        <f t="shared" si="17"/>
        <v>0</v>
      </c>
      <c r="I284" s="14">
        <f t="shared" si="18"/>
        <v>0</v>
      </c>
      <c r="J284" s="14">
        <f t="shared" si="19"/>
        <v>0</v>
      </c>
    </row>
    <row r="285" spans="1:10" x14ac:dyDescent="0.25">
      <c r="A285" s="15">
        <v>279</v>
      </c>
      <c r="B285" s="14">
        <f>IF(A285&gt;$M$3,0,IF(A285=1,DADOS!$C$7,I284))</f>
        <v>0</v>
      </c>
      <c r="C285" s="14">
        <f>IF(A285&gt;$M$3,0,IF(DADOS!$C$11="PRICE",IF(A285&lt;=$M$4,0,MAX(0,E285-D285)),IF(DADOS!$C$11="SAC",IF(A285&lt;=$M$4,0,MIN($M$7,B285)),IF(DADOS!$C$11="AMERICANO",IF(A285=$M$3,MIN(DADOS!$C$7,B285),0),0))))</f>
        <v>0</v>
      </c>
      <c r="D285" s="14">
        <f t="shared" si="16"/>
        <v>0</v>
      </c>
      <c r="E285" s="14">
        <f>IF(A285&gt;$M$3,0,IF(DADOS!$C$11="PRICE",IF(A285&lt;=$M$4,D285,$M$6),IF(DADOS!$C$11="SAC",IF(A285&lt;=$M$4,D285,$M$7 + D285),IF(DADOS!$C$11="AMERICANO",IF(A285&lt;$M$3,D285,D285+C285),0))))</f>
        <v>0</v>
      </c>
      <c r="F285" s="14">
        <f>IF(A285&gt;$M$3,0,DADOS!$C$18)</f>
        <v>0</v>
      </c>
      <c r="G285" s="14">
        <f>IF(A285&gt;$M$3,0,B285*DADOS!$C$19)</f>
        <v>0</v>
      </c>
      <c r="H285" s="14">
        <f t="shared" si="17"/>
        <v>0</v>
      </c>
      <c r="I285" s="14">
        <f t="shared" si="18"/>
        <v>0</v>
      </c>
      <c r="J285" s="14">
        <f t="shared" si="19"/>
        <v>0</v>
      </c>
    </row>
    <row r="286" spans="1:10" x14ac:dyDescent="0.25">
      <c r="A286" s="15">
        <v>280</v>
      </c>
      <c r="B286" s="14">
        <f>IF(A286&gt;$M$3,0,IF(A286=1,DADOS!$C$7,I285))</f>
        <v>0</v>
      </c>
      <c r="C286" s="14">
        <f>IF(A286&gt;$M$3,0,IF(DADOS!$C$11="PRICE",IF(A286&lt;=$M$4,0,MAX(0,E286-D286)),IF(DADOS!$C$11="SAC",IF(A286&lt;=$M$4,0,MIN($M$7,B286)),IF(DADOS!$C$11="AMERICANO",IF(A286=$M$3,MIN(DADOS!$C$7,B286),0),0))))</f>
        <v>0</v>
      </c>
      <c r="D286" s="14">
        <f t="shared" si="16"/>
        <v>0</v>
      </c>
      <c r="E286" s="14">
        <f>IF(A286&gt;$M$3,0,IF(DADOS!$C$11="PRICE",IF(A286&lt;=$M$4,D286,$M$6),IF(DADOS!$C$11="SAC",IF(A286&lt;=$M$4,D286,$M$7 + D286),IF(DADOS!$C$11="AMERICANO",IF(A286&lt;$M$3,D286,D286+C286),0))))</f>
        <v>0</v>
      </c>
      <c r="F286" s="14">
        <f>IF(A286&gt;$M$3,0,DADOS!$C$18)</f>
        <v>0</v>
      </c>
      <c r="G286" s="14">
        <f>IF(A286&gt;$M$3,0,B286*DADOS!$C$19)</f>
        <v>0</v>
      </c>
      <c r="H286" s="14">
        <f t="shared" si="17"/>
        <v>0</v>
      </c>
      <c r="I286" s="14">
        <f t="shared" si="18"/>
        <v>0</v>
      </c>
      <c r="J286" s="14">
        <f t="shared" si="19"/>
        <v>0</v>
      </c>
    </row>
    <row r="287" spans="1:10" x14ac:dyDescent="0.25">
      <c r="A287" s="15">
        <v>281</v>
      </c>
      <c r="B287" s="14">
        <f>IF(A287&gt;$M$3,0,IF(A287=1,DADOS!$C$7,I286))</f>
        <v>0</v>
      </c>
      <c r="C287" s="14">
        <f>IF(A287&gt;$M$3,0,IF(DADOS!$C$11="PRICE",IF(A287&lt;=$M$4,0,MAX(0,E287-D287)),IF(DADOS!$C$11="SAC",IF(A287&lt;=$M$4,0,MIN($M$7,B287)),IF(DADOS!$C$11="AMERICANO",IF(A287=$M$3,MIN(DADOS!$C$7,B287),0),0))))</f>
        <v>0</v>
      </c>
      <c r="D287" s="14">
        <f t="shared" si="16"/>
        <v>0</v>
      </c>
      <c r="E287" s="14">
        <f>IF(A287&gt;$M$3,0,IF(DADOS!$C$11="PRICE",IF(A287&lt;=$M$4,D287,$M$6),IF(DADOS!$C$11="SAC",IF(A287&lt;=$M$4,D287,$M$7 + D287),IF(DADOS!$C$11="AMERICANO",IF(A287&lt;$M$3,D287,D287+C287),0))))</f>
        <v>0</v>
      </c>
      <c r="F287" s="14">
        <f>IF(A287&gt;$M$3,0,DADOS!$C$18)</f>
        <v>0</v>
      </c>
      <c r="G287" s="14">
        <f>IF(A287&gt;$M$3,0,B287*DADOS!$C$19)</f>
        <v>0</v>
      </c>
      <c r="H287" s="14">
        <f t="shared" si="17"/>
        <v>0</v>
      </c>
      <c r="I287" s="14">
        <f t="shared" si="18"/>
        <v>0</v>
      </c>
      <c r="J287" s="14">
        <f t="shared" si="19"/>
        <v>0</v>
      </c>
    </row>
    <row r="288" spans="1:10" x14ac:dyDescent="0.25">
      <c r="A288" s="15">
        <v>282</v>
      </c>
      <c r="B288" s="14">
        <f>IF(A288&gt;$M$3,0,IF(A288=1,DADOS!$C$7,I287))</f>
        <v>0</v>
      </c>
      <c r="C288" s="14">
        <f>IF(A288&gt;$M$3,0,IF(DADOS!$C$11="PRICE",IF(A288&lt;=$M$4,0,MAX(0,E288-D288)),IF(DADOS!$C$11="SAC",IF(A288&lt;=$M$4,0,MIN($M$7,B288)),IF(DADOS!$C$11="AMERICANO",IF(A288=$M$3,MIN(DADOS!$C$7,B288),0),0))))</f>
        <v>0</v>
      </c>
      <c r="D288" s="14">
        <f t="shared" si="16"/>
        <v>0</v>
      </c>
      <c r="E288" s="14">
        <f>IF(A288&gt;$M$3,0,IF(DADOS!$C$11="PRICE",IF(A288&lt;=$M$4,D288,$M$6),IF(DADOS!$C$11="SAC",IF(A288&lt;=$M$4,D288,$M$7 + D288),IF(DADOS!$C$11="AMERICANO",IF(A288&lt;$M$3,D288,D288+C288),0))))</f>
        <v>0</v>
      </c>
      <c r="F288" s="14">
        <f>IF(A288&gt;$M$3,0,DADOS!$C$18)</f>
        <v>0</v>
      </c>
      <c r="G288" s="14">
        <f>IF(A288&gt;$M$3,0,B288*DADOS!$C$19)</f>
        <v>0</v>
      </c>
      <c r="H288" s="14">
        <f t="shared" si="17"/>
        <v>0</v>
      </c>
      <c r="I288" s="14">
        <f t="shared" si="18"/>
        <v>0</v>
      </c>
      <c r="J288" s="14">
        <f t="shared" si="19"/>
        <v>0</v>
      </c>
    </row>
    <row r="289" spans="1:10" x14ac:dyDescent="0.25">
      <c r="A289" s="15">
        <v>283</v>
      </c>
      <c r="B289" s="14">
        <f>IF(A289&gt;$M$3,0,IF(A289=1,DADOS!$C$7,I288))</f>
        <v>0</v>
      </c>
      <c r="C289" s="14">
        <f>IF(A289&gt;$M$3,0,IF(DADOS!$C$11="PRICE",IF(A289&lt;=$M$4,0,MAX(0,E289-D289)),IF(DADOS!$C$11="SAC",IF(A289&lt;=$M$4,0,MIN($M$7,B289)),IF(DADOS!$C$11="AMERICANO",IF(A289=$M$3,MIN(DADOS!$C$7,B289),0),0))))</f>
        <v>0</v>
      </c>
      <c r="D289" s="14">
        <f t="shared" si="16"/>
        <v>0</v>
      </c>
      <c r="E289" s="14">
        <f>IF(A289&gt;$M$3,0,IF(DADOS!$C$11="PRICE",IF(A289&lt;=$M$4,D289,$M$6),IF(DADOS!$C$11="SAC",IF(A289&lt;=$M$4,D289,$M$7 + D289),IF(DADOS!$C$11="AMERICANO",IF(A289&lt;$M$3,D289,D289+C289),0))))</f>
        <v>0</v>
      </c>
      <c r="F289" s="14">
        <f>IF(A289&gt;$M$3,0,DADOS!$C$18)</f>
        <v>0</v>
      </c>
      <c r="G289" s="14">
        <f>IF(A289&gt;$M$3,0,B289*DADOS!$C$19)</f>
        <v>0</v>
      </c>
      <c r="H289" s="14">
        <f t="shared" si="17"/>
        <v>0</v>
      </c>
      <c r="I289" s="14">
        <f t="shared" si="18"/>
        <v>0</v>
      </c>
      <c r="J289" s="14">
        <f t="shared" si="19"/>
        <v>0</v>
      </c>
    </row>
    <row r="290" spans="1:10" x14ac:dyDescent="0.25">
      <c r="A290" s="15">
        <v>284</v>
      </c>
      <c r="B290" s="14">
        <f>IF(A290&gt;$M$3,0,IF(A290=1,DADOS!$C$7,I289))</f>
        <v>0</v>
      </c>
      <c r="C290" s="14">
        <f>IF(A290&gt;$M$3,0,IF(DADOS!$C$11="PRICE",IF(A290&lt;=$M$4,0,MAX(0,E290-D290)),IF(DADOS!$C$11="SAC",IF(A290&lt;=$M$4,0,MIN($M$7,B290)),IF(DADOS!$C$11="AMERICANO",IF(A290=$M$3,MIN(DADOS!$C$7,B290),0),0))))</f>
        <v>0</v>
      </c>
      <c r="D290" s="14">
        <f t="shared" si="16"/>
        <v>0</v>
      </c>
      <c r="E290" s="14">
        <f>IF(A290&gt;$M$3,0,IF(DADOS!$C$11="PRICE",IF(A290&lt;=$M$4,D290,$M$6),IF(DADOS!$C$11="SAC",IF(A290&lt;=$M$4,D290,$M$7 + D290),IF(DADOS!$C$11="AMERICANO",IF(A290&lt;$M$3,D290,D290+C290),0))))</f>
        <v>0</v>
      </c>
      <c r="F290" s="14">
        <f>IF(A290&gt;$M$3,0,DADOS!$C$18)</f>
        <v>0</v>
      </c>
      <c r="G290" s="14">
        <f>IF(A290&gt;$M$3,0,B290*DADOS!$C$19)</f>
        <v>0</v>
      </c>
      <c r="H290" s="14">
        <f t="shared" si="17"/>
        <v>0</v>
      </c>
      <c r="I290" s="14">
        <f t="shared" si="18"/>
        <v>0</v>
      </c>
      <c r="J290" s="14">
        <f t="shared" si="19"/>
        <v>0</v>
      </c>
    </row>
    <row r="291" spans="1:10" x14ac:dyDescent="0.25">
      <c r="A291" s="15">
        <v>285</v>
      </c>
      <c r="B291" s="14">
        <f>IF(A291&gt;$M$3,0,IF(A291=1,DADOS!$C$7,I290))</f>
        <v>0</v>
      </c>
      <c r="C291" s="14">
        <f>IF(A291&gt;$M$3,0,IF(DADOS!$C$11="PRICE",IF(A291&lt;=$M$4,0,MAX(0,E291-D291)),IF(DADOS!$C$11="SAC",IF(A291&lt;=$M$4,0,MIN($M$7,B291)),IF(DADOS!$C$11="AMERICANO",IF(A291=$M$3,MIN(DADOS!$C$7,B291),0),0))))</f>
        <v>0</v>
      </c>
      <c r="D291" s="14">
        <f t="shared" si="16"/>
        <v>0</v>
      </c>
      <c r="E291" s="14">
        <f>IF(A291&gt;$M$3,0,IF(DADOS!$C$11="PRICE",IF(A291&lt;=$M$4,D291,$M$6),IF(DADOS!$C$11="SAC",IF(A291&lt;=$M$4,D291,$M$7 + D291),IF(DADOS!$C$11="AMERICANO",IF(A291&lt;$M$3,D291,D291+C291),0))))</f>
        <v>0</v>
      </c>
      <c r="F291" s="14">
        <f>IF(A291&gt;$M$3,0,DADOS!$C$18)</f>
        <v>0</v>
      </c>
      <c r="G291" s="14">
        <f>IF(A291&gt;$M$3,0,B291*DADOS!$C$19)</f>
        <v>0</v>
      </c>
      <c r="H291" s="14">
        <f t="shared" si="17"/>
        <v>0</v>
      </c>
      <c r="I291" s="14">
        <f t="shared" si="18"/>
        <v>0</v>
      </c>
      <c r="J291" s="14">
        <f t="shared" si="19"/>
        <v>0</v>
      </c>
    </row>
    <row r="292" spans="1:10" x14ac:dyDescent="0.25">
      <c r="A292" s="15">
        <v>286</v>
      </c>
      <c r="B292" s="14">
        <f>IF(A292&gt;$M$3,0,IF(A292=1,DADOS!$C$7,I291))</f>
        <v>0</v>
      </c>
      <c r="C292" s="14">
        <f>IF(A292&gt;$M$3,0,IF(DADOS!$C$11="PRICE",IF(A292&lt;=$M$4,0,MAX(0,E292-D292)),IF(DADOS!$C$11="SAC",IF(A292&lt;=$M$4,0,MIN($M$7,B292)),IF(DADOS!$C$11="AMERICANO",IF(A292=$M$3,MIN(DADOS!$C$7,B292),0),0))))</f>
        <v>0</v>
      </c>
      <c r="D292" s="14">
        <f t="shared" si="16"/>
        <v>0</v>
      </c>
      <c r="E292" s="14">
        <f>IF(A292&gt;$M$3,0,IF(DADOS!$C$11="PRICE",IF(A292&lt;=$M$4,D292,$M$6),IF(DADOS!$C$11="SAC",IF(A292&lt;=$M$4,D292,$M$7 + D292),IF(DADOS!$C$11="AMERICANO",IF(A292&lt;$M$3,D292,D292+C292),0))))</f>
        <v>0</v>
      </c>
      <c r="F292" s="14">
        <f>IF(A292&gt;$M$3,0,DADOS!$C$18)</f>
        <v>0</v>
      </c>
      <c r="G292" s="14">
        <f>IF(A292&gt;$M$3,0,B292*DADOS!$C$19)</f>
        <v>0</v>
      </c>
      <c r="H292" s="14">
        <f t="shared" si="17"/>
        <v>0</v>
      </c>
      <c r="I292" s="14">
        <f t="shared" si="18"/>
        <v>0</v>
      </c>
      <c r="J292" s="14">
        <f t="shared" si="19"/>
        <v>0</v>
      </c>
    </row>
    <row r="293" spans="1:10" x14ac:dyDescent="0.25">
      <c r="A293" s="15">
        <v>287</v>
      </c>
      <c r="B293" s="14">
        <f>IF(A293&gt;$M$3,0,IF(A293=1,DADOS!$C$7,I292))</f>
        <v>0</v>
      </c>
      <c r="C293" s="14">
        <f>IF(A293&gt;$M$3,0,IF(DADOS!$C$11="PRICE",IF(A293&lt;=$M$4,0,MAX(0,E293-D293)),IF(DADOS!$C$11="SAC",IF(A293&lt;=$M$4,0,MIN($M$7,B293)),IF(DADOS!$C$11="AMERICANO",IF(A293=$M$3,MIN(DADOS!$C$7,B293),0),0))))</f>
        <v>0</v>
      </c>
      <c r="D293" s="14">
        <f t="shared" si="16"/>
        <v>0</v>
      </c>
      <c r="E293" s="14">
        <f>IF(A293&gt;$M$3,0,IF(DADOS!$C$11="PRICE",IF(A293&lt;=$M$4,D293,$M$6),IF(DADOS!$C$11="SAC",IF(A293&lt;=$M$4,D293,$M$7 + D293),IF(DADOS!$C$11="AMERICANO",IF(A293&lt;$M$3,D293,D293+C293),0))))</f>
        <v>0</v>
      </c>
      <c r="F293" s="14">
        <f>IF(A293&gt;$M$3,0,DADOS!$C$18)</f>
        <v>0</v>
      </c>
      <c r="G293" s="14">
        <f>IF(A293&gt;$M$3,0,B293*DADOS!$C$19)</f>
        <v>0</v>
      </c>
      <c r="H293" s="14">
        <f t="shared" si="17"/>
        <v>0</v>
      </c>
      <c r="I293" s="14">
        <f t="shared" si="18"/>
        <v>0</v>
      </c>
      <c r="J293" s="14">
        <f t="shared" si="19"/>
        <v>0</v>
      </c>
    </row>
    <row r="294" spans="1:10" x14ac:dyDescent="0.25">
      <c r="A294" s="15">
        <v>288</v>
      </c>
      <c r="B294" s="14">
        <f>IF(A294&gt;$M$3,0,IF(A294=1,DADOS!$C$7,I293))</f>
        <v>0</v>
      </c>
      <c r="C294" s="14">
        <f>IF(A294&gt;$M$3,0,IF(DADOS!$C$11="PRICE",IF(A294&lt;=$M$4,0,MAX(0,E294-D294)),IF(DADOS!$C$11="SAC",IF(A294&lt;=$M$4,0,MIN($M$7,B294)),IF(DADOS!$C$11="AMERICANO",IF(A294=$M$3,MIN(DADOS!$C$7,B294),0),0))))</f>
        <v>0</v>
      </c>
      <c r="D294" s="14">
        <f t="shared" si="16"/>
        <v>0</v>
      </c>
      <c r="E294" s="14">
        <f>IF(A294&gt;$M$3,0,IF(DADOS!$C$11="PRICE",IF(A294&lt;=$M$4,D294,$M$6),IF(DADOS!$C$11="SAC",IF(A294&lt;=$M$4,D294,$M$7 + D294),IF(DADOS!$C$11="AMERICANO",IF(A294&lt;$M$3,D294,D294+C294),0))))</f>
        <v>0</v>
      </c>
      <c r="F294" s="14">
        <f>IF(A294&gt;$M$3,0,DADOS!$C$18)</f>
        <v>0</v>
      </c>
      <c r="G294" s="14">
        <f>IF(A294&gt;$M$3,0,B294*DADOS!$C$19)</f>
        <v>0</v>
      </c>
      <c r="H294" s="14">
        <f t="shared" si="17"/>
        <v>0</v>
      </c>
      <c r="I294" s="14">
        <f t="shared" si="18"/>
        <v>0</v>
      </c>
      <c r="J294" s="14">
        <f t="shared" si="19"/>
        <v>0</v>
      </c>
    </row>
    <row r="295" spans="1:10" x14ac:dyDescent="0.25">
      <c r="A295" s="15">
        <v>289</v>
      </c>
      <c r="B295" s="14">
        <f>IF(A295&gt;$M$3,0,IF(A295=1,DADOS!$C$7,I294))</f>
        <v>0</v>
      </c>
      <c r="C295" s="14">
        <f>IF(A295&gt;$M$3,0,IF(DADOS!$C$11="PRICE",IF(A295&lt;=$M$4,0,MAX(0,E295-D295)),IF(DADOS!$C$11="SAC",IF(A295&lt;=$M$4,0,MIN($M$7,B295)),IF(DADOS!$C$11="AMERICANO",IF(A295=$M$3,MIN(DADOS!$C$7,B295),0),0))))</f>
        <v>0</v>
      </c>
      <c r="D295" s="14">
        <f t="shared" si="16"/>
        <v>0</v>
      </c>
      <c r="E295" s="14">
        <f>IF(A295&gt;$M$3,0,IF(DADOS!$C$11="PRICE",IF(A295&lt;=$M$4,D295,$M$6),IF(DADOS!$C$11="SAC",IF(A295&lt;=$M$4,D295,$M$7 + D295),IF(DADOS!$C$11="AMERICANO",IF(A295&lt;$M$3,D295,D295+C295),0))))</f>
        <v>0</v>
      </c>
      <c r="F295" s="14">
        <f>IF(A295&gt;$M$3,0,DADOS!$C$18)</f>
        <v>0</v>
      </c>
      <c r="G295" s="14">
        <f>IF(A295&gt;$M$3,0,B295*DADOS!$C$19)</f>
        <v>0</v>
      </c>
      <c r="H295" s="14">
        <f t="shared" si="17"/>
        <v>0</v>
      </c>
      <c r="I295" s="14">
        <f t="shared" si="18"/>
        <v>0</v>
      </c>
      <c r="J295" s="14">
        <f t="shared" si="19"/>
        <v>0</v>
      </c>
    </row>
    <row r="296" spans="1:10" x14ac:dyDescent="0.25">
      <c r="A296" s="15">
        <v>290</v>
      </c>
      <c r="B296" s="14">
        <f>IF(A296&gt;$M$3,0,IF(A296=1,DADOS!$C$7,I295))</f>
        <v>0</v>
      </c>
      <c r="C296" s="14">
        <f>IF(A296&gt;$M$3,0,IF(DADOS!$C$11="PRICE",IF(A296&lt;=$M$4,0,MAX(0,E296-D296)),IF(DADOS!$C$11="SAC",IF(A296&lt;=$M$4,0,MIN($M$7,B296)),IF(DADOS!$C$11="AMERICANO",IF(A296=$M$3,MIN(DADOS!$C$7,B296),0),0))))</f>
        <v>0</v>
      </c>
      <c r="D296" s="14">
        <f t="shared" si="16"/>
        <v>0</v>
      </c>
      <c r="E296" s="14">
        <f>IF(A296&gt;$M$3,0,IF(DADOS!$C$11="PRICE",IF(A296&lt;=$M$4,D296,$M$6),IF(DADOS!$C$11="SAC",IF(A296&lt;=$M$4,D296,$M$7 + D296),IF(DADOS!$C$11="AMERICANO",IF(A296&lt;$M$3,D296,D296+C296),0))))</f>
        <v>0</v>
      </c>
      <c r="F296" s="14">
        <f>IF(A296&gt;$M$3,0,DADOS!$C$18)</f>
        <v>0</v>
      </c>
      <c r="G296" s="14">
        <f>IF(A296&gt;$M$3,0,B296*DADOS!$C$19)</f>
        <v>0</v>
      </c>
      <c r="H296" s="14">
        <f t="shared" si="17"/>
        <v>0</v>
      </c>
      <c r="I296" s="14">
        <f t="shared" si="18"/>
        <v>0</v>
      </c>
      <c r="J296" s="14">
        <f t="shared" si="19"/>
        <v>0</v>
      </c>
    </row>
    <row r="297" spans="1:10" x14ac:dyDescent="0.25">
      <c r="A297" s="15">
        <v>291</v>
      </c>
      <c r="B297" s="14">
        <f>IF(A297&gt;$M$3,0,IF(A297=1,DADOS!$C$7,I296))</f>
        <v>0</v>
      </c>
      <c r="C297" s="14">
        <f>IF(A297&gt;$M$3,0,IF(DADOS!$C$11="PRICE",IF(A297&lt;=$M$4,0,MAX(0,E297-D297)),IF(DADOS!$C$11="SAC",IF(A297&lt;=$M$4,0,MIN($M$7,B297)),IF(DADOS!$C$11="AMERICANO",IF(A297=$M$3,MIN(DADOS!$C$7,B297),0),0))))</f>
        <v>0</v>
      </c>
      <c r="D297" s="14">
        <f t="shared" si="16"/>
        <v>0</v>
      </c>
      <c r="E297" s="14">
        <f>IF(A297&gt;$M$3,0,IF(DADOS!$C$11="PRICE",IF(A297&lt;=$M$4,D297,$M$6),IF(DADOS!$C$11="SAC",IF(A297&lt;=$M$4,D297,$M$7 + D297),IF(DADOS!$C$11="AMERICANO",IF(A297&lt;$M$3,D297,D297+C297),0))))</f>
        <v>0</v>
      </c>
      <c r="F297" s="14">
        <f>IF(A297&gt;$M$3,0,DADOS!$C$18)</f>
        <v>0</v>
      </c>
      <c r="G297" s="14">
        <f>IF(A297&gt;$M$3,0,B297*DADOS!$C$19)</f>
        <v>0</v>
      </c>
      <c r="H297" s="14">
        <f t="shared" si="17"/>
        <v>0</v>
      </c>
      <c r="I297" s="14">
        <f t="shared" si="18"/>
        <v>0</v>
      </c>
      <c r="J297" s="14">
        <f t="shared" si="19"/>
        <v>0</v>
      </c>
    </row>
    <row r="298" spans="1:10" x14ac:dyDescent="0.25">
      <c r="A298" s="15">
        <v>292</v>
      </c>
      <c r="B298" s="14">
        <f>IF(A298&gt;$M$3,0,IF(A298=1,DADOS!$C$7,I297))</f>
        <v>0</v>
      </c>
      <c r="C298" s="14">
        <f>IF(A298&gt;$M$3,0,IF(DADOS!$C$11="PRICE",IF(A298&lt;=$M$4,0,MAX(0,E298-D298)),IF(DADOS!$C$11="SAC",IF(A298&lt;=$M$4,0,MIN($M$7,B298)),IF(DADOS!$C$11="AMERICANO",IF(A298=$M$3,MIN(DADOS!$C$7,B298),0),0))))</f>
        <v>0</v>
      </c>
      <c r="D298" s="14">
        <f t="shared" si="16"/>
        <v>0</v>
      </c>
      <c r="E298" s="14">
        <f>IF(A298&gt;$M$3,0,IF(DADOS!$C$11="PRICE",IF(A298&lt;=$M$4,D298,$M$6),IF(DADOS!$C$11="SAC",IF(A298&lt;=$M$4,D298,$M$7 + D298),IF(DADOS!$C$11="AMERICANO",IF(A298&lt;$M$3,D298,D298+C298),0))))</f>
        <v>0</v>
      </c>
      <c r="F298" s="14">
        <f>IF(A298&gt;$M$3,0,DADOS!$C$18)</f>
        <v>0</v>
      </c>
      <c r="G298" s="14">
        <f>IF(A298&gt;$M$3,0,B298*DADOS!$C$19)</f>
        <v>0</v>
      </c>
      <c r="H298" s="14">
        <f t="shared" si="17"/>
        <v>0</v>
      </c>
      <c r="I298" s="14">
        <f t="shared" si="18"/>
        <v>0</v>
      </c>
      <c r="J298" s="14">
        <f t="shared" si="19"/>
        <v>0</v>
      </c>
    </row>
    <row r="299" spans="1:10" x14ac:dyDescent="0.25">
      <c r="A299" s="15">
        <v>293</v>
      </c>
      <c r="B299" s="14">
        <f>IF(A299&gt;$M$3,0,IF(A299=1,DADOS!$C$7,I298))</f>
        <v>0</v>
      </c>
      <c r="C299" s="14">
        <f>IF(A299&gt;$M$3,0,IF(DADOS!$C$11="PRICE",IF(A299&lt;=$M$4,0,MAX(0,E299-D299)),IF(DADOS!$C$11="SAC",IF(A299&lt;=$M$4,0,MIN($M$7,B299)),IF(DADOS!$C$11="AMERICANO",IF(A299=$M$3,MIN(DADOS!$C$7,B299),0),0))))</f>
        <v>0</v>
      </c>
      <c r="D299" s="14">
        <f t="shared" si="16"/>
        <v>0</v>
      </c>
      <c r="E299" s="14">
        <f>IF(A299&gt;$M$3,0,IF(DADOS!$C$11="PRICE",IF(A299&lt;=$M$4,D299,$M$6),IF(DADOS!$C$11="SAC",IF(A299&lt;=$M$4,D299,$M$7 + D299),IF(DADOS!$C$11="AMERICANO",IF(A299&lt;$M$3,D299,D299+C299),0))))</f>
        <v>0</v>
      </c>
      <c r="F299" s="14">
        <f>IF(A299&gt;$M$3,0,DADOS!$C$18)</f>
        <v>0</v>
      </c>
      <c r="G299" s="14">
        <f>IF(A299&gt;$M$3,0,B299*DADOS!$C$19)</f>
        <v>0</v>
      </c>
      <c r="H299" s="14">
        <f t="shared" si="17"/>
        <v>0</v>
      </c>
      <c r="I299" s="14">
        <f t="shared" si="18"/>
        <v>0</v>
      </c>
      <c r="J299" s="14">
        <f t="shared" si="19"/>
        <v>0</v>
      </c>
    </row>
    <row r="300" spans="1:10" x14ac:dyDescent="0.25">
      <c r="A300" s="15">
        <v>294</v>
      </c>
      <c r="B300" s="14">
        <f>IF(A300&gt;$M$3,0,IF(A300=1,DADOS!$C$7,I299))</f>
        <v>0</v>
      </c>
      <c r="C300" s="14">
        <f>IF(A300&gt;$M$3,0,IF(DADOS!$C$11="PRICE",IF(A300&lt;=$M$4,0,MAX(0,E300-D300)),IF(DADOS!$C$11="SAC",IF(A300&lt;=$M$4,0,MIN($M$7,B300)),IF(DADOS!$C$11="AMERICANO",IF(A300=$M$3,MIN(DADOS!$C$7,B300),0),0))))</f>
        <v>0</v>
      </c>
      <c r="D300" s="14">
        <f t="shared" si="16"/>
        <v>0</v>
      </c>
      <c r="E300" s="14">
        <f>IF(A300&gt;$M$3,0,IF(DADOS!$C$11="PRICE",IF(A300&lt;=$M$4,D300,$M$6),IF(DADOS!$C$11="SAC",IF(A300&lt;=$M$4,D300,$M$7 + D300),IF(DADOS!$C$11="AMERICANO",IF(A300&lt;$M$3,D300,D300+C300),0))))</f>
        <v>0</v>
      </c>
      <c r="F300" s="14">
        <f>IF(A300&gt;$M$3,0,DADOS!$C$18)</f>
        <v>0</v>
      </c>
      <c r="G300" s="14">
        <f>IF(A300&gt;$M$3,0,B300*DADOS!$C$19)</f>
        <v>0</v>
      </c>
      <c r="H300" s="14">
        <f t="shared" si="17"/>
        <v>0</v>
      </c>
      <c r="I300" s="14">
        <f t="shared" si="18"/>
        <v>0</v>
      </c>
      <c r="J300" s="14">
        <f t="shared" si="19"/>
        <v>0</v>
      </c>
    </row>
    <row r="301" spans="1:10" x14ac:dyDescent="0.25">
      <c r="A301" s="15">
        <v>295</v>
      </c>
      <c r="B301" s="14">
        <f>IF(A301&gt;$M$3,0,IF(A301=1,DADOS!$C$7,I300))</f>
        <v>0</v>
      </c>
      <c r="C301" s="14">
        <f>IF(A301&gt;$M$3,0,IF(DADOS!$C$11="PRICE",IF(A301&lt;=$M$4,0,MAX(0,E301-D301)),IF(DADOS!$C$11="SAC",IF(A301&lt;=$M$4,0,MIN($M$7,B301)),IF(DADOS!$C$11="AMERICANO",IF(A301=$M$3,MIN(DADOS!$C$7,B301),0),0))))</f>
        <v>0</v>
      </c>
      <c r="D301" s="14">
        <f t="shared" si="16"/>
        <v>0</v>
      </c>
      <c r="E301" s="14">
        <f>IF(A301&gt;$M$3,0,IF(DADOS!$C$11="PRICE",IF(A301&lt;=$M$4,D301,$M$6),IF(DADOS!$C$11="SAC",IF(A301&lt;=$M$4,D301,$M$7 + D301),IF(DADOS!$C$11="AMERICANO",IF(A301&lt;$M$3,D301,D301+C301),0))))</f>
        <v>0</v>
      </c>
      <c r="F301" s="14">
        <f>IF(A301&gt;$M$3,0,DADOS!$C$18)</f>
        <v>0</v>
      </c>
      <c r="G301" s="14">
        <f>IF(A301&gt;$M$3,0,B301*DADOS!$C$19)</f>
        <v>0</v>
      </c>
      <c r="H301" s="14">
        <f t="shared" si="17"/>
        <v>0</v>
      </c>
      <c r="I301" s="14">
        <f t="shared" si="18"/>
        <v>0</v>
      </c>
      <c r="J301" s="14">
        <f t="shared" si="19"/>
        <v>0</v>
      </c>
    </row>
    <row r="302" spans="1:10" x14ac:dyDescent="0.25">
      <c r="A302" s="15">
        <v>296</v>
      </c>
      <c r="B302" s="14">
        <f>IF(A302&gt;$M$3,0,IF(A302=1,DADOS!$C$7,I301))</f>
        <v>0</v>
      </c>
      <c r="C302" s="14">
        <f>IF(A302&gt;$M$3,0,IF(DADOS!$C$11="PRICE",IF(A302&lt;=$M$4,0,MAX(0,E302-D302)),IF(DADOS!$C$11="SAC",IF(A302&lt;=$M$4,0,MIN($M$7,B302)),IF(DADOS!$C$11="AMERICANO",IF(A302=$M$3,MIN(DADOS!$C$7,B302),0),0))))</f>
        <v>0</v>
      </c>
      <c r="D302" s="14">
        <f t="shared" si="16"/>
        <v>0</v>
      </c>
      <c r="E302" s="14">
        <f>IF(A302&gt;$M$3,0,IF(DADOS!$C$11="PRICE",IF(A302&lt;=$M$4,D302,$M$6),IF(DADOS!$C$11="SAC",IF(A302&lt;=$M$4,D302,$M$7 + D302),IF(DADOS!$C$11="AMERICANO",IF(A302&lt;$M$3,D302,D302+C302),0))))</f>
        <v>0</v>
      </c>
      <c r="F302" s="14">
        <f>IF(A302&gt;$M$3,0,DADOS!$C$18)</f>
        <v>0</v>
      </c>
      <c r="G302" s="14">
        <f>IF(A302&gt;$M$3,0,B302*DADOS!$C$19)</f>
        <v>0</v>
      </c>
      <c r="H302" s="14">
        <f t="shared" si="17"/>
        <v>0</v>
      </c>
      <c r="I302" s="14">
        <f t="shared" si="18"/>
        <v>0</v>
      </c>
      <c r="J302" s="14">
        <f t="shared" si="19"/>
        <v>0</v>
      </c>
    </row>
    <row r="303" spans="1:10" x14ac:dyDescent="0.25">
      <c r="A303" s="15">
        <v>297</v>
      </c>
      <c r="B303" s="14">
        <f>IF(A303&gt;$M$3,0,IF(A303=1,DADOS!$C$7,I302))</f>
        <v>0</v>
      </c>
      <c r="C303" s="14">
        <f>IF(A303&gt;$M$3,0,IF(DADOS!$C$11="PRICE",IF(A303&lt;=$M$4,0,MAX(0,E303-D303)),IF(DADOS!$C$11="SAC",IF(A303&lt;=$M$4,0,MIN($M$7,B303)),IF(DADOS!$C$11="AMERICANO",IF(A303=$M$3,MIN(DADOS!$C$7,B303),0),0))))</f>
        <v>0</v>
      </c>
      <c r="D303" s="14">
        <f t="shared" si="16"/>
        <v>0</v>
      </c>
      <c r="E303" s="14">
        <f>IF(A303&gt;$M$3,0,IF(DADOS!$C$11="PRICE",IF(A303&lt;=$M$4,D303,$M$6),IF(DADOS!$C$11="SAC",IF(A303&lt;=$M$4,D303,$M$7 + D303),IF(DADOS!$C$11="AMERICANO",IF(A303&lt;$M$3,D303,D303+C303),0))))</f>
        <v>0</v>
      </c>
      <c r="F303" s="14">
        <f>IF(A303&gt;$M$3,0,DADOS!$C$18)</f>
        <v>0</v>
      </c>
      <c r="G303" s="14">
        <f>IF(A303&gt;$M$3,0,B303*DADOS!$C$19)</f>
        <v>0</v>
      </c>
      <c r="H303" s="14">
        <f t="shared" si="17"/>
        <v>0</v>
      </c>
      <c r="I303" s="14">
        <f t="shared" si="18"/>
        <v>0</v>
      </c>
      <c r="J303" s="14">
        <f t="shared" si="19"/>
        <v>0</v>
      </c>
    </row>
    <row r="304" spans="1:10" x14ac:dyDescent="0.25">
      <c r="A304" s="15">
        <v>298</v>
      </c>
      <c r="B304" s="14">
        <f>IF(A304&gt;$M$3,0,IF(A304=1,DADOS!$C$7,I303))</f>
        <v>0</v>
      </c>
      <c r="C304" s="14">
        <f>IF(A304&gt;$M$3,0,IF(DADOS!$C$11="PRICE",IF(A304&lt;=$M$4,0,MAX(0,E304-D304)),IF(DADOS!$C$11="SAC",IF(A304&lt;=$M$4,0,MIN($M$7,B304)),IF(DADOS!$C$11="AMERICANO",IF(A304=$M$3,MIN(DADOS!$C$7,B304),0),0))))</f>
        <v>0</v>
      </c>
      <c r="D304" s="14">
        <f t="shared" si="16"/>
        <v>0</v>
      </c>
      <c r="E304" s="14">
        <f>IF(A304&gt;$M$3,0,IF(DADOS!$C$11="PRICE",IF(A304&lt;=$M$4,D304,$M$6),IF(DADOS!$C$11="SAC",IF(A304&lt;=$M$4,D304,$M$7 + D304),IF(DADOS!$C$11="AMERICANO",IF(A304&lt;$M$3,D304,D304+C304),0))))</f>
        <v>0</v>
      </c>
      <c r="F304" s="14">
        <f>IF(A304&gt;$M$3,0,DADOS!$C$18)</f>
        <v>0</v>
      </c>
      <c r="G304" s="14">
        <f>IF(A304&gt;$M$3,0,B304*DADOS!$C$19)</f>
        <v>0</v>
      </c>
      <c r="H304" s="14">
        <f t="shared" si="17"/>
        <v>0</v>
      </c>
      <c r="I304" s="14">
        <f t="shared" si="18"/>
        <v>0</v>
      </c>
      <c r="J304" s="14">
        <f t="shared" si="19"/>
        <v>0</v>
      </c>
    </row>
    <row r="305" spans="1:10" x14ac:dyDescent="0.25">
      <c r="A305" s="15">
        <v>299</v>
      </c>
      <c r="B305" s="14">
        <f>IF(A305&gt;$M$3,0,IF(A305=1,DADOS!$C$7,I304))</f>
        <v>0</v>
      </c>
      <c r="C305" s="14">
        <f>IF(A305&gt;$M$3,0,IF(DADOS!$C$11="PRICE",IF(A305&lt;=$M$4,0,MAX(0,E305-D305)),IF(DADOS!$C$11="SAC",IF(A305&lt;=$M$4,0,MIN($M$7,B305)),IF(DADOS!$C$11="AMERICANO",IF(A305=$M$3,MIN(DADOS!$C$7,B305),0),0))))</f>
        <v>0</v>
      </c>
      <c r="D305" s="14">
        <f t="shared" si="16"/>
        <v>0</v>
      </c>
      <c r="E305" s="14">
        <f>IF(A305&gt;$M$3,0,IF(DADOS!$C$11="PRICE",IF(A305&lt;=$M$4,D305,$M$6),IF(DADOS!$C$11="SAC",IF(A305&lt;=$M$4,D305,$M$7 + D305),IF(DADOS!$C$11="AMERICANO",IF(A305&lt;$M$3,D305,D305+C305),0))))</f>
        <v>0</v>
      </c>
      <c r="F305" s="14">
        <f>IF(A305&gt;$M$3,0,DADOS!$C$18)</f>
        <v>0</v>
      </c>
      <c r="G305" s="14">
        <f>IF(A305&gt;$M$3,0,B305*DADOS!$C$19)</f>
        <v>0</v>
      </c>
      <c r="H305" s="14">
        <f t="shared" si="17"/>
        <v>0</v>
      </c>
      <c r="I305" s="14">
        <f t="shared" si="18"/>
        <v>0</v>
      </c>
      <c r="J305" s="14">
        <f t="shared" si="19"/>
        <v>0</v>
      </c>
    </row>
    <row r="306" spans="1:10" x14ac:dyDescent="0.25">
      <c r="A306" s="15">
        <v>300</v>
      </c>
      <c r="B306" s="14">
        <f>IF(A306&gt;$M$3,0,IF(A306=1,DADOS!$C$7,I305))</f>
        <v>0</v>
      </c>
      <c r="C306" s="14">
        <f>IF(A306&gt;$M$3,0,IF(DADOS!$C$11="PRICE",IF(A306&lt;=$M$4,0,MAX(0,E306-D306)),IF(DADOS!$C$11="SAC",IF(A306&lt;=$M$4,0,MIN($M$7,B306)),IF(DADOS!$C$11="AMERICANO",IF(A306=$M$3,MIN(DADOS!$C$7,B306),0),0))))</f>
        <v>0</v>
      </c>
      <c r="D306" s="14">
        <f t="shared" si="16"/>
        <v>0</v>
      </c>
      <c r="E306" s="14">
        <f>IF(A306&gt;$M$3,0,IF(DADOS!$C$11="PRICE",IF(A306&lt;=$M$4,D306,$M$6),IF(DADOS!$C$11="SAC",IF(A306&lt;=$M$4,D306,$M$7 + D306),IF(DADOS!$C$11="AMERICANO",IF(A306&lt;$M$3,D306,D306+C306),0))))</f>
        <v>0</v>
      </c>
      <c r="F306" s="14">
        <f>IF(A306&gt;$M$3,0,DADOS!$C$18)</f>
        <v>0</v>
      </c>
      <c r="G306" s="14">
        <f>IF(A306&gt;$M$3,0,B306*DADOS!$C$19)</f>
        <v>0</v>
      </c>
      <c r="H306" s="14">
        <f t="shared" si="17"/>
        <v>0</v>
      </c>
      <c r="I306" s="14">
        <f t="shared" si="18"/>
        <v>0</v>
      </c>
      <c r="J306" s="14">
        <f t="shared" si="19"/>
        <v>0</v>
      </c>
    </row>
    <row r="307" spans="1:10" x14ac:dyDescent="0.25">
      <c r="A307" s="15">
        <v>301</v>
      </c>
      <c r="B307" s="14">
        <f>IF(A307&gt;$M$3,0,IF(A307=1,DADOS!$C$7,I306))</f>
        <v>0</v>
      </c>
      <c r="C307" s="14">
        <f>IF(A307&gt;$M$3,0,IF(DADOS!$C$11="PRICE",IF(A307&lt;=$M$4,0,MAX(0,E307-D307)),IF(DADOS!$C$11="SAC",IF(A307&lt;=$M$4,0,MIN($M$7,B307)),IF(DADOS!$C$11="AMERICANO",IF(A307=$M$3,MIN(DADOS!$C$7,B307),0),0))))</f>
        <v>0</v>
      </c>
      <c r="D307" s="14">
        <f t="shared" si="16"/>
        <v>0</v>
      </c>
      <c r="E307" s="14">
        <f>IF(A307&gt;$M$3,0,IF(DADOS!$C$11="PRICE",IF(A307&lt;=$M$4,D307,$M$6),IF(DADOS!$C$11="SAC",IF(A307&lt;=$M$4,D307,$M$7 + D307),IF(DADOS!$C$11="AMERICANO",IF(A307&lt;$M$3,D307,D307+C307),0))))</f>
        <v>0</v>
      </c>
      <c r="F307" s="14">
        <f>IF(A307&gt;$M$3,0,DADOS!$C$18)</f>
        <v>0</v>
      </c>
      <c r="G307" s="14">
        <f>IF(A307&gt;$M$3,0,B307*DADOS!$C$19)</f>
        <v>0</v>
      </c>
      <c r="H307" s="14">
        <f t="shared" si="17"/>
        <v>0</v>
      </c>
      <c r="I307" s="14">
        <f t="shared" si="18"/>
        <v>0</v>
      </c>
      <c r="J307" s="14">
        <f t="shared" si="19"/>
        <v>0</v>
      </c>
    </row>
    <row r="308" spans="1:10" x14ac:dyDescent="0.25">
      <c r="A308" s="15">
        <v>302</v>
      </c>
      <c r="B308" s="14">
        <f>IF(A308&gt;$M$3,0,IF(A308=1,DADOS!$C$7,I307))</f>
        <v>0</v>
      </c>
      <c r="C308" s="14">
        <f>IF(A308&gt;$M$3,0,IF(DADOS!$C$11="PRICE",IF(A308&lt;=$M$4,0,MAX(0,E308-D308)),IF(DADOS!$C$11="SAC",IF(A308&lt;=$M$4,0,MIN($M$7,B308)),IF(DADOS!$C$11="AMERICANO",IF(A308=$M$3,MIN(DADOS!$C$7,B308),0),0))))</f>
        <v>0</v>
      </c>
      <c r="D308" s="14">
        <f t="shared" si="16"/>
        <v>0</v>
      </c>
      <c r="E308" s="14">
        <f>IF(A308&gt;$M$3,0,IF(DADOS!$C$11="PRICE",IF(A308&lt;=$M$4,D308,$M$6),IF(DADOS!$C$11="SAC",IF(A308&lt;=$M$4,D308,$M$7 + D308),IF(DADOS!$C$11="AMERICANO",IF(A308&lt;$M$3,D308,D308+C308),0))))</f>
        <v>0</v>
      </c>
      <c r="F308" s="14">
        <f>IF(A308&gt;$M$3,0,DADOS!$C$18)</f>
        <v>0</v>
      </c>
      <c r="G308" s="14">
        <f>IF(A308&gt;$M$3,0,B308*DADOS!$C$19)</f>
        <v>0</v>
      </c>
      <c r="H308" s="14">
        <f t="shared" si="17"/>
        <v>0</v>
      </c>
      <c r="I308" s="14">
        <f t="shared" si="18"/>
        <v>0</v>
      </c>
      <c r="J308" s="14">
        <f t="shared" si="19"/>
        <v>0</v>
      </c>
    </row>
    <row r="309" spans="1:10" x14ac:dyDescent="0.25">
      <c r="A309" s="15">
        <v>303</v>
      </c>
      <c r="B309" s="14">
        <f>IF(A309&gt;$M$3,0,IF(A309=1,DADOS!$C$7,I308))</f>
        <v>0</v>
      </c>
      <c r="C309" s="14">
        <f>IF(A309&gt;$M$3,0,IF(DADOS!$C$11="PRICE",IF(A309&lt;=$M$4,0,MAX(0,E309-D309)),IF(DADOS!$C$11="SAC",IF(A309&lt;=$M$4,0,MIN($M$7,B309)),IF(DADOS!$C$11="AMERICANO",IF(A309=$M$3,MIN(DADOS!$C$7,B309),0),0))))</f>
        <v>0</v>
      </c>
      <c r="D309" s="14">
        <f t="shared" si="16"/>
        <v>0</v>
      </c>
      <c r="E309" s="14">
        <f>IF(A309&gt;$M$3,0,IF(DADOS!$C$11="PRICE",IF(A309&lt;=$M$4,D309,$M$6),IF(DADOS!$C$11="SAC",IF(A309&lt;=$M$4,D309,$M$7 + D309),IF(DADOS!$C$11="AMERICANO",IF(A309&lt;$M$3,D309,D309+C309),0))))</f>
        <v>0</v>
      </c>
      <c r="F309" s="14">
        <f>IF(A309&gt;$M$3,0,DADOS!$C$18)</f>
        <v>0</v>
      </c>
      <c r="G309" s="14">
        <f>IF(A309&gt;$M$3,0,B309*DADOS!$C$19)</f>
        <v>0</v>
      </c>
      <c r="H309" s="14">
        <f t="shared" si="17"/>
        <v>0</v>
      </c>
      <c r="I309" s="14">
        <f t="shared" si="18"/>
        <v>0</v>
      </c>
      <c r="J309" s="14">
        <f t="shared" si="19"/>
        <v>0</v>
      </c>
    </row>
    <row r="310" spans="1:10" x14ac:dyDescent="0.25">
      <c r="A310" s="15">
        <v>304</v>
      </c>
      <c r="B310" s="14">
        <f>IF(A310&gt;$M$3,0,IF(A310=1,DADOS!$C$7,I309))</f>
        <v>0</v>
      </c>
      <c r="C310" s="14">
        <f>IF(A310&gt;$M$3,0,IF(DADOS!$C$11="PRICE",IF(A310&lt;=$M$4,0,MAX(0,E310-D310)),IF(DADOS!$C$11="SAC",IF(A310&lt;=$M$4,0,MIN($M$7,B310)),IF(DADOS!$C$11="AMERICANO",IF(A310=$M$3,MIN(DADOS!$C$7,B310),0),0))))</f>
        <v>0</v>
      </c>
      <c r="D310" s="14">
        <f t="shared" si="16"/>
        <v>0</v>
      </c>
      <c r="E310" s="14">
        <f>IF(A310&gt;$M$3,0,IF(DADOS!$C$11="PRICE",IF(A310&lt;=$M$4,D310,$M$6),IF(DADOS!$C$11="SAC",IF(A310&lt;=$M$4,D310,$M$7 + D310),IF(DADOS!$C$11="AMERICANO",IF(A310&lt;$M$3,D310,D310+C310),0))))</f>
        <v>0</v>
      </c>
      <c r="F310" s="14">
        <f>IF(A310&gt;$M$3,0,DADOS!$C$18)</f>
        <v>0</v>
      </c>
      <c r="G310" s="14">
        <f>IF(A310&gt;$M$3,0,B310*DADOS!$C$19)</f>
        <v>0</v>
      </c>
      <c r="H310" s="14">
        <f t="shared" si="17"/>
        <v>0</v>
      </c>
      <c r="I310" s="14">
        <f t="shared" si="18"/>
        <v>0</v>
      </c>
      <c r="J310" s="14">
        <f t="shared" si="19"/>
        <v>0</v>
      </c>
    </row>
    <row r="311" spans="1:10" x14ac:dyDescent="0.25">
      <c r="A311" s="15">
        <v>305</v>
      </c>
      <c r="B311" s="14">
        <f>IF(A311&gt;$M$3,0,IF(A311=1,DADOS!$C$7,I310))</f>
        <v>0</v>
      </c>
      <c r="C311" s="14">
        <f>IF(A311&gt;$M$3,0,IF(DADOS!$C$11="PRICE",IF(A311&lt;=$M$4,0,MAX(0,E311-D311)),IF(DADOS!$C$11="SAC",IF(A311&lt;=$M$4,0,MIN($M$7,B311)),IF(DADOS!$C$11="AMERICANO",IF(A311=$M$3,MIN(DADOS!$C$7,B311),0),0))))</f>
        <v>0</v>
      </c>
      <c r="D311" s="14">
        <f t="shared" si="16"/>
        <v>0</v>
      </c>
      <c r="E311" s="14">
        <f>IF(A311&gt;$M$3,0,IF(DADOS!$C$11="PRICE",IF(A311&lt;=$M$4,D311,$M$6),IF(DADOS!$C$11="SAC",IF(A311&lt;=$M$4,D311,$M$7 + D311),IF(DADOS!$C$11="AMERICANO",IF(A311&lt;$M$3,D311,D311+C311),0))))</f>
        <v>0</v>
      </c>
      <c r="F311" s="14">
        <f>IF(A311&gt;$M$3,0,DADOS!$C$18)</f>
        <v>0</v>
      </c>
      <c r="G311" s="14">
        <f>IF(A311&gt;$M$3,0,B311*DADOS!$C$19)</f>
        <v>0</v>
      </c>
      <c r="H311" s="14">
        <f t="shared" si="17"/>
        <v>0</v>
      </c>
      <c r="I311" s="14">
        <f t="shared" si="18"/>
        <v>0</v>
      </c>
      <c r="J311" s="14">
        <f t="shared" si="19"/>
        <v>0</v>
      </c>
    </row>
    <row r="312" spans="1:10" x14ac:dyDescent="0.25">
      <c r="A312" s="15">
        <v>306</v>
      </c>
      <c r="B312" s="14">
        <f>IF(A312&gt;$M$3,0,IF(A312=1,DADOS!$C$7,I311))</f>
        <v>0</v>
      </c>
      <c r="C312" s="14">
        <f>IF(A312&gt;$M$3,0,IF(DADOS!$C$11="PRICE",IF(A312&lt;=$M$4,0,MAX(0,E312-D312)),IF(DADOS!$C$11="SAC",IF(A312&lt;=$M$4,0,MIN($M$7,B312)),IF(DADOS!$C$11="AMERICANO",IF(A312=$M$3,MIN(DADOS!$C$7,B312),0),0))))</f>
        <v>0</v>
      </c>
      <c r="D312" s="14">
        <f t="shared" si="16"/>
        <v>0</v>
      </c>
      <c r="E312" s="14">
        <f>IF(A312&gt;$M$3,0,IF(DADOS!$C$11="PRICE",IF(A312&lt;=$M$4,D312,$M$6),IF(DADOS!$C$11="SAC",IF(A312&lt;=$M$4,D312,$M$7 + D312),IF(DADOS!$C$11="AMERICANO",IF(A312&lt;$M$3,D312,D312+C312),0))))</f>
        <v>0</v>
      </c>
      <c r="F312" s="14">
        <f>IF(A312&gt;$M$3,0,DADOS!$C$18)</f>
        <v>0</v>
      </c>
      <c r="G312" s="14">
        <f>IF(A312&gt;$M$3,0,B312*DADOS!$C$19)</f>
        <v>0</v>
      </c>
      <c r="H312" s="14">
        <f t="shared" si="17"/>
        <v>0</v>
      </c>
      <c r="I312" s="14">
        <f t="shared" si="18"/>
        <v>0</v>
      </c>
      <c r="J312" s="14">
        <f t="shared" si="19"/>
        <v>0</v>
      </c>
    </row>
    <row r="313" spans="1:10" x14ac:dyDescent="0.25">
      <c r="A313" s="15">
        <v>307</v>
      </c>
      <c r="B313" s="14">
        <f>IF(A313&gt;$M$3,0,IF(A313=1,DADOS!$C$7,I312))</f>
        <v>0</v>
      </c>
      <c r="C313" s="14">
        <f>IF(A313&gt;$M$3,0,IF(DADOS!$C$11="PRICE",IF(A313&lt;=$M$4,0,MAX(0,E313-D313)),IF(DADOS!$C$11="SAC",IF(A313&lt;=$M$4,0,MIN($M$7,B313)),IF(DADOS!$C$11="AMERICANO",IF(A313=$M$3,MIN(DADOS!$C$7,B313),0),0))))</f>
        <v>0</v>
      </c>
      <c r="D313" s="14">
        <f t="shared" si="16"/>
        <v>0</v>
      </c>
      <c r="E313" s="14">
        <f>IF(A313&gt;$M$3,0,IF(DADOS!$C$11="PRICE",IF(A313&lt;=$M$4,D313,$M$6),IF(DADOS!$C$11="SAC",IF(A313&lt;=$M$4,D313,$M$7 + D313),IF(DADOS!$C$11="AMERICANO",IF(A313&lt;$M$3,D313,D313+C313),0))))</f>
        <v>0</v>
      </c>
      <c r="F313" s="14">
        <f>IF(A313&gt;$M$3,0,DADOS!$C$18)</f>
        <v>0</v>
      </c>
      <c r="G313" s="14">
        <f>IF(A313&gt;$M$3,0,B313*DADOS!$C$19)</f>
        <v>0</v>
      </c>
      <c r="H313" s="14">
        <f t="shared" si="17"/>
        <v>0</v>
      </c>
      <c r="I313" s="14">
        <f t="shared" si="18"/>
        <v>0</v>
      </c>
      <c r="J313" s="14">
        <f t="shared" si="19"/>
        <v>0</v>
      </c>
    </row>
    <row r="314" spans="1:10" x14ac:dyDescent="0.25">
      <c r="A314" s="15">
        <v>308</v>
      </c>
      <c r="B314" s="14">
        <f>IF(A314&gt;$M$3,0,IF(A314=1,DADOS!$C$7,I313))</f>
        <v>0</v>
      </c>
      <c r="C314" s="14">
        <f>IF(A314&gt;$M$3,0,IF(DADOS!$C$11="PRICE",IF(A314&lt;=$M$4,0,MAX(0,E314-D314)),IF(DADOS!$C$11="SAC",IF(A314&lt;=$M$4,0,MIN($M$7,B314)),IF(DADOS!$C$11="AMERICANO",IF(A314=$M$3,MIN(DADOS!$C$7,B314),0),0))))</f>
        <v>0</v>
      </c>
      <c r="D314" s="14">
        <f t="shared" si="16"/>
        <v>0</v>
      </c>
      <c r="E314" s="14">
        <f>IF(A314&gt;$M$3,0,IF(DADOS!$C$11="PRICE",IF(A314&lt;=$M$4,D314,$M$6),IF(DADOS!$C$11="SAC",IF(A314&lt;=$M$4,D314,$M$7 + D314),IF(DADOS!$C$11="AMERICANO",IF(A314&lt;$M$3,D314,D314+C314),0))))</f>
        <v>0</v>
      </c>
      <c r="F314" s="14">
        <f>IF(A314&gt;$M$3,0,DADOS!$C$18)</f>
        <v>0</v>
      </c>
      <c r="G314" s="14">
        <f>IF(A314&gt;$M$3,0,B314*DADOS!$C$19)</f>
        <v>0</v>
      </c>
      <c r="H314" s="14">
        <f t="shared" si="17"/>
        <v>0</v>
      </c>
      <c r="I314" s="14">
        <f t="shared" si="18"/>
        <v>0</v>
      </c>
      <c r="J314" s="14">
        <f t="shared" si="19"/>
        <v>0</v>
      </c>
    </row>
    <row r="315" spans="1:10" x14ac:dyDescent="0.25">
      <c r="A315" s="15">
        <v>309</v>
      </c>
      <c r="B315" s="14">
        <f>IF(A315&gt;$M$3,0,IF(A315=1,DADOS!$C$7,I314))</f>
        <v>0</v>
      </c>
      <c r="C315" s="14">
        <f>IF(A315&gt;$M$3,0,IF(DADOS!$C$11="PRICE",IF(A315&lt;=$M$4,0,MAX(0,E315-D315)),IF(DADOS!$C$11="SAC",IF(A315&lt;=$M$4,0,MIN($M$7,B315)),IF(DADOS!$C$11="AMERICANO",IF(A315=$M$3,MIN(DADOS!$C$7,B315),0),0))))</f>
        <v>0</v>
      </c>
      <c r="D315" s="14">
        <f t="shared" si="16"/>
        <v>0</v>
      </c>
      <c r="E315" s="14">
        <f>IF(A315&gt;$M$3,0,IF(DADOS!$C$11="PRICE",IF(A315&lt;=$M$4,D315,$M$6),IF(DADOS!$C$11="SAC",IF(A315&lt;=$M$4,D315,$M$7 + D315),IF(DADOS!$C$11="AMERICANO",IF(A315&lt;$M$3,D315,D315+C315),0))))</f>
        <v>0</v>
      </c>
      <c r="F315" s="14">
        <f>IF(A315&gt;$M$3,0,DADOS!$C$18)</f>
        <v>0</v>
      </c>
      <c r="G315" s="14">
        <f>IF(A315&gt;$M$3,0,B315*DADOS!$C$19)</f>
        <v>0</v>
      </c>
      <c r="H315" s="14">
        <f t="shared" si="17"/>
        <v>0</v>
      </c>
      <c r="I315" s="14">
        <f t="shared" si="18"/>
        <v>0</v>
      </c>
      <c r="J315" s="14">
        <f t="shared" si="19"/>
        <v>0</v>
      </c>
    </row>
    <row r="316" spans="1:10" x14ac:dyDescent="0.25">
      <c r="A316" s="15">
        <v>310</v>
      </c>
      <c r="B316" s="14">
        <f>IF(A316&gt;$M$3,0,IF(A316=1,DADOS!$C$7,I315))</f>
        <v>0</v>
      </c>
      <c r="C316" s="14">
        <f>IF(A316&gt;$M$3,0,IF(DADOS!$C$11="PRICE",IF(A316&lt;=$M$4,0,MAX(0,E316-D316)),IF(DADOS!$C$11="SAC",IF(A316&lt;=$M$4,0,MIN($M$7,B316)),IF(DADOS!$C$11="AMERICANO",IF(A316=$M$3,MIN(DADOS!$C$7,B316),0),0))))</f>
        <v>0</v>
      </c>
      <c r="D316" s="14">
        <f t="shared" si="16"/>
        <v>0</v>
      </c>
      <c r="E316" s="14">
        <f>IF(A316&gt;$M$3,0,IF(DADOS!$C$11="PRICE",IF(A316&lt;=$M$4,D316,$M$6),IF(DADOS!$C$11="SAC",IF(A316&lt;=$M$4,D316,$M$7 + D316),IF(DADOS!$C$11="AMERICANO",IF(A316&lt;$M$3,D316,D316+C316),0))))</f>
        <v>0</v>
      </c>
      <c r="F316" s="14">
        <f>IF(A316&gt;$M$3,0,DADOS!$C$18)</f>
        <v>0</v>
      </c>
      <c r="G316" s="14">
        <f>IF(A316&gt;$M$3,0,B316*DADOS!$C$19)</f>
        <v>0</v>
      </c>
      <c r="H316" s="14">
        <f t="shared" si="17"/>
        <v>0</v>
      </c>
      <c r="I316" s="14">
        <f t="shared" si="18"/>
        <v>0</v>
      </c>
      <c r="J316" s="14">
        <f t="shared" si="19"/>
        <v>0</v>
      </c>
    </row>
    <row r="317" spans="1:10" x14ac:dyDescent="0.25">
      <c r="A317" s="15">
        <v>311</v>
      </c>
      <c r="B317" s="14">
        <f>IF(A317&gt;$M$3,0,IF(A317=1,DADOS!$C$7,I316))</f>
        <v>0</v>
      </c>
      <c r="C317" s="14">
        <f>IF(A317&gt;$M$3,0,IF(DADOS!$C$11="PRICE",IF(A317&lt;=$M$4,0,MAX(0,E317-D317)),IF(DADOS!$C$11="SAC",IF(A317&lt;=$M$4,0,MIN($M$7,B317)),IF(DADOS!$C$11="AMERICANO",IF(A317=$M$3,MIN(DADOS!$C$7,B317),0),0))))</f>
        <v>0</v>
      </c>
      <c r="D317" s="14">
        <f t="shared" si="16"/>
        <v>0</v>
      </c>
      <c r="E317" s="14">
        <f>IF(A317&gt;$M$3,0,IF(DADOS!$C$11="PRICE",IF(A317&lt;=$M$4,D317,$M$6),IF(DADOS!$C$11="SAC",IF(A317&lt;=$M$4,D317,$M$7 + D317),IF(DADOS!$C$11="AMERICANO",IF(A317&lt;$M$3,D317,D317+C317),0))))</f>
        <v>0</v>
      </c>
      <c r="F317" s="14">
        <f>IF(A317&gt;$M$3,0,DADOS!$C$18)</f>
        <v>0</v>
      </c>
      <c r="G317" s="14">
        <f>IF(A317&gt;$M$3,0,B317*DADOS!$C$19)</f>
        <v>0</v>
      </c>
      <c r="H317" s="14">
        <f t="shared" si="17"/>
        <v>0</v>
      </c>
      <c r="I317" s="14">
        <f t="shared" si="18"/>
        <v>0</v>
      </c>
      <c r="J317" s="14">
        <f t="shared" si="19"/>
        <v>0</v>
      </c>
    </row>
    <row r="318" spans="1:10" x14ac:dyDescent="0.25">
      <c r="A318" s="15">
        <v>312</v>
      </c>
      <c r="B318" s="14">
        <f>IF(A318&gt;$M$3,0,IF(A318=1,DADOS!$C$7,I317))</f>
        <v>0</v>
      </c>
      <c r="C318" s="14">
        <f>IF(A318&gt;$M$3,0,IF(DADOS!$C$11="PRICE",IF(A318&lt;=$M$4,0,MAX(0,E318-D318)),IF(DADOS!$C$11="SAC",IF(A318&lt;=$M$4,0,MIN($M$7,B318)),IF(DADOS!$C$11="AMERICANO",IF(A318=$M$3,MIN(DADOS!$C$7,B318),0),0))))</f>
        <v>0</v>
      </c>
      <c r="D318" s="14">
        <f t="shared" si="16"/>
        <v>0</v>
      </c>
      <c r="E318" s="14">
        <f>IF(A318&gt;$M$3,0,IF(DADOS!$C$11="PRICE",IF(A318&lt;=$M$4,D318,$M$6),IF(DADOS!$C$11="SAC",IF(A318&lt;=$M$4,D318,$M$7 + D318),IF(DADOS!$C$11="AMERICANO",IF(A318&lt;$M$3,D318,D318+C318),0))))</f>
        <v>0</v>
      </c>
      <c r="F318" s="14">
        <f>IF(A318&gt;$M$3,0,DADOS!$C$18)</f>
        <v>0</v>
      </c>
      <c r="G318" s="14">
        <f>IF(A318&gt;$M$3,0,B318*DADOS!$C$19)</f>
        <v>0</v>
      </c>
      <c r="H318" s="14">
        <f t="shared" si="17"/>
        <v>0</v>
      </c>
      <c r="I318" s="14">
        <f t="shared" si="18"/>
        <v>0</v>
      </c>
      <c r="J318" s="14">
        <f t="shared" si="19"/>
        <v>0</v>
      </c>
    </row>
    <row r="319" spans="1:10" x14ac:dyDescent="0.25">
      <c r="A319" s="15">
        <v>313</v>
      </c>
      <c r="B319" s="14">
        <f>IF(A319&gt;$M$3,0,IF(A319=1,DADOS!$C$7,I318))</f>
        <v>0</v>
      </c>
      <c r="C319" s="14">
        <f>IF(A319&gt;$M$3,0,IF(DADOS!$C$11="PRICE",IF(A319&lt;=$M$4,0,MAX(0,E319-D319)),IF(DADOS!$C$11="SAC",IF(A319&lt;=$M$4,0,MIN($M$7,B319)),IF(DADOS!$C$11="AMERICANO",IF(A319=$M$3,MIN(DADOS!$C$7,B319),0),0))))</f>
        <v>0</v>
      </c>
      <c r="D319" s="14">
        <f t="shared" si="16"/>
        <v>0</v>
      </c>
      <c r="E319" s="14">
        <f>IF(A319&gt;$M$3,0,IF(DADOS!$C$11="PRICE",IF(A319&lt;=$M$4,D319,$M$6),IF(DADOS!$C$11="SAC",IF(A319&lt;=$M$4,D319,$M$7 + D319),IF(DADOS!$C$11="AMERICANO",IF(A319&lt;$M$3,D319,D319+C319),0))))</f>
        <v>0</v>
      </c>
      <c r="F319" s="14">
        <f>IF(A319&gt;$M$3,0,DADOS!$C$18)</f>
        <v>0</v>
      </c>
      <c r="G319" s="14">
        <f>IF(A319&gt;$M$3,0,B319*DADOS!$C$19)</f>
        <v>0</v>
      </c>
      <c r="H319" s="14">
        <f t="shared" si="17"/>
        <v>0</v>
      </c>
      <c r="I319" s="14">
        <f t="shared" si="18"/>
        <v>0</v>
      </c>
      <c r="J319" s="14">
        <f t="shared" si="19"/>
        <v>0</v>
      </c>
    </row>
    <row r="320" spans="1:10" x14ac:dyDescent="0.25">
      <c r="A320" s="15">
        <v>314</v>
      </c>
      <c r="B320" s="14">
        <f>IF(A320&gt;$M$3,0,IF(A320=1,DADOS!$C$7,I319))</f>
        <v>0</v>
      </c>
      <c r="C320" s="14">
        <f>IF(A320&gt;$M$3,0,IF(DADOS!$C$11="PRICE",IF(A320&lt;=$M$4,0,MAX(0,E320-D320)),IF(DADOS!$C$11="SAC",IF(A320&lt;=$M$4,0,MIN($M$7,B320)),IF(DADOS!$C$11="AMERICANO",IF(A320=$M$3,MIN(DADOS!$C$7,B320),0),0))))</f>
        <v>0</v>
      </c>
      <c r="D320" s="14">
        <f t="shared" si="16"/>
        <v>0</v>
      </c>
      <c r="E320" s="14">
        <f>IF(A320&gt;$M$3,0,IF(DADOS!$C$11="PRICE",IF(A320&lt;=$M$4,D320,$M$6),IF(DADOS!$C$11="SAC",IF(A320&lt;=$M$4,D320,$M$7 + D320),IF(DADOS!$C$11="AMERICANO",IF(A320&lt;$M$3,D320,D320+C320),0))))</f>
        <v>0</v>
      </c>
      <c r="F320" s="14">
        <f>IF(A320&gt;$M$3,0,DADOS!$C$18)</f>
        <v>0</v>
      </c>
      <c r="G320" s="14">
        <f>IF(A320&gt;$M$3,0,B320*DADOS!$C$19)</f>
        <v>0</v>
      </c>
      <c r="H320" s="14">
        <f t="shared" si="17"/>
        <v>0</v>
      </c>
      <c r="I320" s="14">
        <f t="shared" si="18"/>
        <v>0</v>
      </c>
      <c r="J320" s="14">
        <f t="shared" si="19"/>
        <v>0</v>
      </c>
    </row>
    <row r="321" spans="1:10" x14ac:dyDescent="0.25">
      <c r="A321" s="15">
        <v>315</v>
      </c>
      <c r="B321" s="14">
        <f>IF(A321&gt;$M$3,0,IF(A321=1,DADOS!$C$7,I320))</f>
        <v>0</v>
      </c>
      <c r="C321" s="14">
        <f>IF(A321&gt;$M$3,0,IF(DADOS!$C$11="PRICE",IF(A321&lt;=$M$4,0,MAX(0,E321-D321)),IF(DADOS!$C$11="SAC",IF(A321&lt;=$M$4,0,MIN($M$7,B321)),IF(DADOS!$C$11="AMERICANO",IF(A321=$M$3,MIN(DADOS!$C$7,B321),0),0))))</f>
        <v>0</v>
      </c>
      <c r="D321" s="14">
        <f t="shared" si="16"/>
        <v>0</v>
      </c>
      <c r="E321" s="14">
        <f>IF(A321&gt;$M$3,0,IF(DADOS!$C$11="PRICE",IF(A321&lt;=$M$4,D321,$M$6),IF(DADOS!$C$11="SAC",IF(A321&lt;=$M$4,D321,$M$7 + D321),IF(DADOS!$C$11="AMERICANO",IF(A321&lt;$M$3,D321,D321+C321),0))))</f>
        <v>0</v>
      </c>
      <c r="F321" s="14">
        <f>IF(A321&gt;$M$3,0,DADOS!$C$18)</f>
        <v>0</v>
      </c>
      <c r="G321" s="14">
        <f>IF(A321&gt;$M$3,0,B321*DADOS!$C$19)</f>
        <v>0</v>
      </c>
      <c r="H321" s="14">
        <f t="shared" si="17"/>
        <v>0</v>
      </c>
      <c r="I321" s="14">
        <f t="shared" si="18"/>
        <v>0</v>
      </c>
      <c r="J321" s="14">
        <f t="shared" si="19"/>
        <v>0</v>
      </c>
    </row>
    <row r="322" spans="1:10" x14ac:dyDescent="0.25">
      <c r="A322" s="15">
        <v>316</v>
      </c>
      <c r="B322" s="14">
        <f>IF(A322&gt;$M$3,0,IF(A322=1,DADOS!$C$7,I321))</f>
        <v>0</v>
      </c>
      <c r="C322" s="14">
        <f>IF(A322&gt;$M$3,0,IF(DADOS!$C$11="PRICE",IF(A322&lt;=$M$4,0,MAX(0,E322-D322)),IF(DADOS!$C$11="SAC",IF(A322&lt;=$M$4,0,MIN($M$7,B322)),IF(DADOS!$C$11="AMERICANO",IF(A322=$M$3,MIN(DADOS!$C$7,B322),0),0))))</f>
        <v>0</v>
      </c>
      <c r="D322" s="14">
        <f t="shared" si="16"/>
        <v>0</v>
      </c>
      <c r="E322" s="14">
        <f>IF(A322&gt;$M$3,0,IF(DADOS!$C$11="PRICE",IF(A322&lt;=$M$4,D322,$M$6),IF(DADOS!$C$11="SAC",IF(A322&lt;=$M$4,D322,$M$7 + D322),IF(DADOS!$C$11="AMERICANO",IF(A322&lt;$M$3,D322,D322+C322),0))))</f>
        <v>0</v>
      </c>
      <c r="F322" s="14">
        <f>IF(A322&gt;$M$3,0,DADOS!$C$18)</f>
        <v>0</v>
      </c>
      <c r="G322" s="14">
        <f>IF(A322&gt;$M$3,0,B322*DADOS!$C$19)</f>
        <v>0</v>
      </c>
      <c r="H322" s="14">
        <f t="shared" si="17"/>
        <v>0</v>
      </c>
      <c r="I322" s="14">
        <f t="shared" si="18"/>
        <v>0</v>
      </c>
      <c r="J322" s="14">
        <f t="shared" si="19"/>
        <v>0</v>
      </c>
    </row>
    <row r="323" spans="1:10" x14ac:dyDescent="0.25">
      <c r="A323" s="15">
        <v>317</v>
      </c>
      <c r="B323" s="14">
        <f>IF(A323&gt;$M$3,0,IF(A323=1,DADOS!$C$7,I322))</f>
        <v>0</v>
      </c>
      <c r="C323" s="14">
        <f>IF(A323&gt;$M$3,0,IF(DADOS!$C$11="PRICE",IF(A323&lt;=$M$4,0,MAX(0,E323-D323)),IF(DADOS!$C$11="SAC",IF(A323&lt;=$M$4,0,MIN($M$7,B323)),IF(DADOS!$C$11="AMERICANO",IF(A323=$M$3,MIN(DADOS!$C$7,B323),0),0))))</f>
        <v>0</v>
      </c>
      <c r="D323" s="14">
        <f t="shared" si="16"/>
        <v>0</v>
      </c>
      <c r="E323" s="14">
        <f>IF(A323&gt;$M$3,0,IF(DADOS!$C$11="PRICE",IF(A323&lt;=$M$4,D323,$M$6),IF(DADOS!$C$11="SAC",IF(A323&lt;=$M$4,D323,$M$7 + D323),IF(DADOS!$C$11="AMERICANO",IF(A323&lt;$M$3,D323,D323+C323),0))))</f>
        <v>0</v>
      </c>
      <c r="F323" s="14">
        <f>IF(A323&gt;$M$3,0,DADOS!$C$18)</f>
        <v>0</v>
      </c>
      <c r="G323" s="14">
        <f>IF(A323&gt;$M$3,0,B323*DADOS!$C$19)</f>
        <v>0</v>
      </c>
      <c r="H323" s="14">
        <f t="shared" si="17"/>
        <v>0</v>
      </c>
      <c r="I323" s="14">
        <f t="shared" si="18"/>
        <v>0</v>
      </c>
      <c r="J323" s="14">
        <f t="shared" si="19"/>
        <v>0</v>
      </c>
    </row>
    <row r="324" spans="1:10" x14ac:dyDescent="0.25">
      <c r="A324" s="15">
        <v>318</v>
      </c>
      <c r="B324" s="14">
        <f>IF(A324&gt;$M$3,0,IF(A324=1,DADOS!$C$7,I323))</f>
        <v>0</v>
      </c>
      <c r="C324" s="14">
        <f>IF(A324&gt;$M$3,0,IF(DADOS!$C$11="PRICE",IF(A324&lt;=$M$4,0,MAX(0,E324-D324)),IF(DADOS!$C$11="SAC",IF(A324&lt;=$M$4,0,MIN($M$7,B324)),IF(DADOS!$C$11="AMERICANO",IF(A324=$M$3,MIN(DADOS!$C$7,B324),0),0))))</f>
        <v>0</v>
      </c>
      <c r="D324" s="14">
        <f t="shared" si="16"/>
        <v>0</v>
      </c>
      <c r="E324" s="14">
        <f>IF(A324&gt;$M$3,0,IF(DADOS!$C$11="PRICE",IF(A324&lt;=$M$4,D324,$M$6),IF(DADOS!$C$11="SAC",IF(A324&lt;=$M$4,D324,$M$7 + D324),IF(DADOS!$C$11="AMERICANO",IF(A324&lt;$M$3,D324,D324+C324),0))))</f>
        <v>0</v>
      </c>
      <c r="F324" s="14">
        <f>IF(A324&gt;$M$3,0,DADOS!$C$18)</f>
        <v>0</v>
      </c>
      <c r="G324" s="14">
        <f>IF(A324&gt;$M$3,0,B324*DADOS!$C$19)</f>
        <v>0</v>
      </c>
      <c r="H324" s="14">
        <f t="shared" si="17"/>
        <v>0</v>
      </c>
      <c r="I324" s="14">
        <f t="shared" si="18"/>
        <v>0</v>
      </c>
      <c r="J324" s="14">
        <f t="shared" si="19"/>
        <v>0</v>
      </c>
    </row>
    <row r="325" spans="1:10" x14ac:dyDescent="0.25">
      <c r="A325" s="15">
        <v>319</v>
      </c>
      <c r="B325" s="14">
        <f>IF(A325&gt;$M$3,0,IF(A325=1,DADOS!$C$7,I324))</f>
        <v>0</v>
      </c>
      <c r="C325" s="14">
        <f>IF(A325&gt;$M$3,0,IF(DADOS!$C$11="PRICE",IF(A325&lt;=$M$4,0,MAX(0,E325-D325)),IF(DADOS!$C$11="SAC",IF(A325&lt;=$M$4,0,MIN($M$7,B325)),IF(DADOS!$C$11="AMERICANO",IF(A325=$M$3,MIN(DADOS!$C$7,B325),0),0))))</f>
        <v>0</v>
      </c>
      <c r="D325" s="14">
        <f t="shared" si="16"/>
        <v>0</v>
      </c>
      <c r="E325" s="14">
        <f>IF(A325&gt;$M$3,0,IF(DADOS!$C$11="PRICE",IF(A325&lt;=$M$4,D325,$M$6),IF(DADOS!$C$11="SAC",IF(A325&lt;=$M$4,D325,$M$7 + D325),IF(DADOS!$C$11="AMERICANO",IF(A325&lt;$M$3,D325,D325+C325),0))))</f>
        <v>0</v>
      </c>
      <c r="F325" s="14">
        <f>IF(A325&gt;$M$3,0,DADOS!$C$18)</f>
        <v>0</v>
      </c>
      <c r="G325" s="14">
        <f>IF(A325&gt;$M$3,0,B325*DADOS!$C$19)</f>
        <v>0</v>
      </c>
      <c r="H325" s="14">
        <f t="shared" si="17"/>
        <v>0</v>
      </c>
      <c r="I325" s="14">
        <f t="shared" si="18"/>
        <v>0</v>
      </c>
      <c r="J325" s="14">
        <f t="shared" si="19"/>
        <v>0</v>
      </c>
    </row>
    <row r="326" spans="1:10" x14ac:dyDescent="0.25">
      <c r="A326" s="15">
        <v>320</v>
      </c>
      <c r="B326" s="14">
        <f>IF(A326&gt;$M$3,0,IF(A326=1,DADOS!$C$7,I325))</f>
        <v>0</v>
      </c>
      <c r="C326" s="14">
        <f>IF(A326&gt;$M$3,0,IF(DADOS!$C$11="PRICE",IF(A326&lt;=$M$4,0,MAX(0,E326-D326)),IF(DADOS!$C$11="SAC",IF(A326&lt;=$M$4,0,MIN($M$7,B326)),IF(DADOS!$C$11="AMERICANO",IF(A326=$M$3,MIN(DADOS!$C$7,B326),0),0))))</f>
        <v>0</v>
      </c>
      <c r="D326" s="14">
        <f t="shared" si="16"/>
        <v>0</v>
      </c>
      <c r="E326" s="14">
        <f>IF(A326&gt;$M$3,0,IF(DADOS!$C$11="PRICE",IF(A326&lt;=$M$4,D326,$M$6),IF(DADOS!$C$11="SAC",IF(A326&lt;=$M$4,D326,$M$7 + D326),IF(DADOS!$C$11="AMERICANO",IF(A326&lt;$M$3,D326,D326+C326),0))))</f>
        <v>0</v>
      </c>
      <c r="F326" s="14">
        <f>IF(A326&gt;$M$3,0,DADOS!$C$18)</f>
        <v>0</v>
      </c>
      <c r="G326" s="14">
        <f>IF(A326&gt;$M$3,0,B326*DADOS!$C$19)</f>
        <v>0</v>
      </c>
      <c r="H326" s="14">
        <f t="shared" si="17"/>
        <v>0</v>
      </c>
      <c r="I326" s="14">
        <f t="shared" si="18"/>
        <v>0</v>
      </c>
      <c r="J326" s="14">
        <f t="shared" si="19"/>
        <v>0</v>
      </c>
    </row>
    <row r="327" spans="1:10" x14ac:dyDescent="0.25">
      <c r="A327" s="15">
        <v>321</v>
      </c>
      <c r="B327" s="14">
        <f>IF(A327&gt;$M$3,0,IF(A327=1,DADOS!$C$7,I326))</f>
        <v>0</v>
      </c>
      <c r="C327" s="14">
        <f>IF(A327&gt;$M$3,0,IF(DADOS!$C$11="PRICE",IF(A327&lt;=$M$4,0,MAX(0,E327-D327)),IF(DADOS!$C$11="SAC",IF(A327&lt;=$M$4,0,MIN($M$7,B327)),IF(DADOS!$C$11="AMERICANO",IF(A327=$M$3,MIN(DADOS!$C$7,B327),0),0))))</f>
        <v>0</v>
      </c>
      <c r="D327" s="14">
        <f t="shared" ref="D327:D366" si="20">IF(A327&gt;$M$3,0,B327*$M$2)</f>
        <v>0</v>
      </c>
      <c r="E327" s="14">
        <f>IF(A327&gt;$M$3,0,IF(DADOS!$C$11="PRICE",IF(A327&lt;=$M$4,D327,$M$6),IF(DADOS!$C$11="SAC",IF(A327&lt;=$M$4,D327,$M$7 + D327),IF(DADOS!$C$11="AMERICANO",IF(A327&lt;$M$3,D327,D327+C327),0))))</f>
        <v>0</v>
      </c>
      <c r="F327" s="14">
        <f>IF(A327&gt;$M$3,0,DADOS!$C$18)</f>
        <v>0</v>
      </c>
      <c r="G327" s="14">
        <f>IF(A327&gt;$M$3,0,B327*DADOS!$C$19)</f>
        <v>0</v>
      </c>
      <c r="H327" s="14">
        <f t="shared" ref="H327:H390" si="21">IF(A327&gt;$M$3,0,E327+F327+G327)</f>
        <v>0</v>
      </c>
      <c r="I327" s="14">
        <f t="shared" ref="I327:I366" si="22">IF(A327&gt;$M$3,0,MAX(0,B327-C327))</f>
        <v>0</v>
      </c>
      <c r="J327" s="14">
        <f t="shared" ref="J327:J366" si="23">IF(A327&gt;$M$3,0,-H327)</f>
        <v>0</v>
      </c>
    </row>
    <row r="328" spans="1:10" x14ac:dyDescent="0.25">
      <c r="A328" s="15">
        <v>322</v>
      </c>
      <c r="B328" s="14">
        <f>IF(A328&gt;$M$3,0,IF(A328=1,DADOS!$C$7,I327))</f>
        <v>0</v>
      </c>
      <c r="C328" s="14">
        <f>IF(A328&gt;$M$3,0,IF(DADOS!$C$11="PRICE",IF(A328&lt;=$M$4,0,MAX(0,E328-D328)),IF(DADOS!$C$11="SAC",IF(A328&lt;=$M$4,0,MIN($M$7,B328)),IF(DADOS!$C$11="AMERICANO",IF(A328=$M$3,MIN(DADOS!$C$7,B328),0),0))))</f>
        <v>0</v>
      </c>
      <c r="D328" s="14">
        <f t="shared" si="20"/>
        <v>0</v>
      </c>
      <c r="E328" s="14">
        <f>IF(A328&gt;$M$3,0,IF(DADOS!$C$11="PRICE",IF(A328&lt;=$M$4,D328,$M$6),IF(DADOS!$C$11="SAC",IF(A328&lt;=$M$4,D328,$M$7 + D328),IF(DADOS!$C$11="AMERICANO",IF(A328&lt;$M$3,D328,D328+C328),0))))</f>
        <v>0</v>
      </c>
      <c r="F328" s="14">
        <f>IF(A328&gt;$M$3,0,DADOS!$C$18)</f>
        <v>0</v>
      </c>
      <c r="G328" s="14">
        <f>IF(A328&gt;$M$3,0,B328*DADOS!$C$19)</f>
        <v>0</v>
      </c>
      <c r="H328" s="14">
        <f t="shared" si="21"/>
        <v>0</v>
      </c>
      <c r="I328" s="14">
        <f t="shared" si="22"/>
        <v>0</v>
      </c>
      <c r="J328" s="14">
        <f t="shared" si="23"/>
        <v>0</v>
      </c>
    </row>
    <row r="329" spans="1:10" x14ac:dyDescent="0.25">
      <c r="A329" s="15">
        <v>323</v>
      </c>
      <c r="B329" s="14">
        <f>IF(A329&gt;$M$3,0,IF(A329=1,DADOS!$C$7,I328))</f>
        <v>0</v>
      </c>
      <c r="C329" s="14">
        <f>IF(A329&gt;$M$3,0,IF(DADOS!$C$11="PRICE",IF(A329&lt;=$M$4,0,MAX(0,E329-D329)),IF(DADOS!$C$11="SAC",IF(A329&lt;=$M$4,0,MIN($M$7,B329)),IF(DADOS!$C$11="AMERICANO",IF(A329=$M$3,MIN(DADOS!$C$7,B329),0),0))))</f>
        <v>0</v>
      </c>
      <c r="D329" s="14">
        <f t="shared" si="20"/>
        <v>0</v>
      </c>
      <c r="E329" s="14">
        <f>IF(A329&gt;$M$3,0,IF(DADOS!$C$11="PRICE",IF(A329&lt;=$M$4,D329,$M$6),IF(DADOS!$C$11="SAC",IF(A329&lt;=$M$4,D329,$M$7 + D329),IF(DADOS!$C$11="AMERICANO",IF(A329&lt;$M$3,D329,D329+C329),0))))</f>
        <v>0</v>
      </c>
      <c r="F329" s="14">
        <f>IF(A329&gt;$M$3,0,DADOS!$C$18)</f>
        <v>0</v>
      </c>
      <c r="G329" s="14">
        <f>IF(A329&gt;$M$3,0,B329*DADOS!$C$19)</f>
        <v>0</v>
      </c>
      <c r="H329" s="14">
        <f t="shared" si="21"/>
        <v>0</v>
      </c>
      <c r="I329" s="14">
        <f t="shared" si="22"/>
        <v>0</v>
      </c>
      <c r="J329" s="14">
        <f t="shared" si="23"/>
        <v>0</v>
      </c>
    </row>
    <row r="330" spans="1:10" x14ac:dyDescent="0.25">
      <c r="A330" s="15">
        <v>324</v>
      </c>
      <c r="B330" s="14">
        <f>IF(A330&gt;$M$3,0,IF(A330=1,DADOS!$C$7,I329))</f>
        <v>0</v>
      </c>
      <c r="C330" s="14">
        <f>IF(A330&gt;$M$3,0,IF(DADOS!$C$11="PRICE",IF(A330&lt;=$M$4,0,MAX(0,E330-D330)),IF(DADOS!$C$11="SAC",IF(A330&lt;=$M$4,0,MIN($M$7,B330)),IF(DADOS!$C$11="AMERICANO",IF(A330=$M$3,MIN(DADOS!$C$7,B330),0),0))))</f>
        <v>0</v>
      </c>
      <c r="D330" s="14">
        <f t="shared" si="20"/>
        <v>0</v>
      </c>
      <c r="E330" s="14">
        <f>IF(A330&gt;$M$3,0,IF(DADOS!$C$11="PRICE",IF(A330&lt;=$M$4,D330,$M$6),IF(DADOS!$C$11="SAC",IF(A330&lt;=$M$4,D330,$M$7 + D330),IF(DADOS!$C$11="AMERICANO",IF(A330&lt;$M$3,D330,D330+C330),0))))</f>
        <v>0</v>
      </c>
      <c r="F330" s="14">
        <f>IF(A330&gt;$M$3,0,DADOS!$C$18)</f>
        <v>0</v>
      </c>
      <c r="G330" s="14">
        <f>IF(A330&gt;$M$3,0,B330*DADOS!$C$19)</f>
        <v>0</v>
      </c>
      <c r="H330" s="14">
        <f t="shared" si="21"/>
        <v>0</v>
      </c>
      <c r="I330" s="14">
        <f t="shared" si="22"/>
        <v>0</v>
      </c>
      <c r="J330" s="14">
        <f t="shared" si="23"/>
        <v>0</v>
      </c>
    </row>
    <row r="331" spans="1:10" x14ac:dyDescent="0.25">
      <c r="A331" s="15">
        <v>325</v>
      </c>
      <c r="B331" s="14">
        <f>IF(A331&gt;$M$3,0,IF(A331=1,DADOS!$C$7,I330))</f>
        <v>0</v>
      </c>
      <c r="C331" s="14">
        <f>IF(A331&gt;$M$3,0,IF(DADOS!$C$11="PRICE",IF(A331&lt;=$M$4,0,MAX(0,E331-D331)),IF(DADOS!$C$11="SAC",IF(A331&lt;=$M$4,0,MIN($M$7,B331)),IF(DADOS!$C$11="AMERICANO",IF(A331=$M$3,MIN(DADOS!$C$7,B331),0),0))))</f>
        <v>0</v>
      </c>
      <c r="D331" s="14">
        <f t="shared" si="20"/>
        <v>0</v>
      </c>
      <c r="E331" s="14">
        <f>IF(A331&gt;$M$3,0,IF(DADOS!$C$11="PRICE",IF(A331&lt;=$M$4,D331,$M$6),IF(DADOS!$C$11="SAC",IF(A331&lt;=$M$4,D331,$M$7 + D331),IF(DADOS!$C$11="AMERICANO",IF(A331&lt;$M$3,D331,D331+C331),0))))</f>
        <v>0</v>
      </c>
      <c r="F331" s="14">
        <f>IF(A331&gt;$M$3,0,DADOS!$C$18)</f>
        <v>0</v>
      </c>
      <c r="G331" s="14">
        <f>IF(A331&gt;$M$3,0,B331*DADOS!$C$19)</f>
        <v>0</v>
      </c>
      <c r="H331" s="14">
        <f t="shared" si="21"/>
        <v>0</v>
      </c>
      <c r="I331" s="14">
        <f t="shared" si="22"/>
        <v>0</v>
      </c>
      <c r="J331" s="14">
        <f t="shared" si="23"/>
        <v>0</v>
      </c>
    </row>
    <row r="332" spans="1:10" x14ac:dyDescent="0.25">
      <c r="A332" s="15">
        <v>326</v>
      </c>
      <c r="B332" s="14">
        <f>IF(A332&gt;$M$3,0,IF(A332=1,DADOS!$C$7,I331))</f>
        <v>0</v>
      </c>
      <c r="C332" s="14">
        <f>IF(A332&gt;$M$3,0,IF(DADOS!$C$11="PRICE",IF(A332&lt;=$M$4,0,MAX(0,E332-D332)),IF(DADOS!$C$11="SAC",IF(A332&lt;=$M$4,0,MIN($M$7,B332)),IF(DADOS!$C$11="AMERICANO",IF(A332=$M$3,MIN(DADOS!$C$7,B332),0),0))))</f>
        <v>0</v>
      </c>
      <c r="D332" s="14">
        <f t="shared" si="20"/>
        <v>0</v>
      </c>
      <c r="E332" s="14">
        <f>IF(A332&gt;$M$3,0,IF(DADOS!$C$11="PRICE",IF(A332&lt;=$M$4,D332,$M$6),IF(DADOS!$C$11="SAC",IF(A332&lt;=$M$4,D332,$M$7 + D332),IF(DADOS!$C$11="AMERICANO",IF(A332&lt;$M$3,D332,D332+C332),0))))</f>
        <v>0</v>
      </c>
      <c r="F332" s="14">
        <f>IF(A332&gt;$M$3,0,DADOS!$C$18)</f>
        <v>0</v>
      </c>
      <c r="G332" s="14">
        <f>IF(A332&gt;$M$3,0,B332*DADOS!$C$19)</f>
        <v>0</v>
      </c>
      <c r="H332" s="14">
        <f t="shared" si="21"/>
        <v>0</v>
      </c>
      <c r="I332" s="14">
        <f t="shared" si="22"/>
        <v>0</v>
      </c>
      <c r="J332" s="14">
        <f t="shared" si="23"/>
        <v>0</v>
      </c>
    </row>
    <row r="333" spans="1:10" x14ac:dyDescent="0.25">
      <c r="A333" s="15">
        <v>327</v>
      </c>
      <c r="B333" s="14">
        <f>IF(A333&gt;$M$3,0,IF(A333=1,DADOS!$C$7,I332))</f>
        <v>0</v>
      </c>
      <c r="C333" s="14">
        <f>IF(A333&gt;$M$3,0,IF(DADOS!$C$11="PRICE",IF(A333&lt;=$M$4,0,MAX(0,E333-D333)),IF(DADOS!$C$11="SAC",IF(A333&lt;=$M$4,0,MIN($M$7,B333)),IF(DADOS!$C$11="AMERICANO",IF(A333=$M$3,MIN(DADOS!$C$7,B333),0),0))))</f>
        <v>0</v>
      </c>
      <c r="D333" s="14">
        <f t="shared" si="20"/>
        <v>0</v>
      </c>
      <c r="E333" s="14">
        <f>IF(A333&gt;$M$3,0,IF(DADOS!$C$11="PRICE",IF(A333&lt;=$M$4,D333,$M$6),IF(DADOS!$C$11="SAC",IF(A333&lt;=$M$4,D333,$M$7 + D333),IF(DADOS!$C$11="AMERICANO",IF(A333&lt;$M$3,D333,D333+C333),0))))</f>
        <v>0</v>
      </c>
      <c r="F333" s="14">
        <f>IF(A333&gt;$M$3,0,DADOS!$C$18)</f>
        <v>0</v>
      </c>
      <c r="G333" s="14">
        <f>IF(A333&gt;$M$3,0,B333*DADOS!$C$19)</f>
        <v>0</v>
      </c>
      <c r="H333" s="14">
        <f t="shared" si="21"/>
        <v>0</v>
      </c>
      <c r="I333" s="14">
        <f t="shared" si="22"/>
        <v>0</v>
      </c>
      <c r="J333" s="14">
        <f t="shared" si="23"/>
        <v>0</v>
      </c>
    </row>
    <row r="334" spans="1:10" x14ac:dyDescent="0.25">
      <c r="A334" s="15">
        <v>328</v>
      </c>
      <c r="B334" s="14">
        <f>IF(A334&gt;$M$3,0,IF(A334=1,DADOS!$C$7,I333))</f>
        <v>0</v>
      </c>
      <c r="C334" s="14">
        <f>IF(A334&gt;$M$3,0,IF(DADOS!$C$11="PRICE",IF(A334&lt;=$M$4,0,MAX(0,E334-D334)),IF(DADOS!$C$11="SAC",IF(A334&lt;=$M$4,0,MIN($M$7,B334)),IF(DADOS!$C$11="AMERICANO",IF(A334=$M$3,MIN(DADOS!$C$7,B334),0),0))))</f>
        <v>0</v>
      </c>
      <c r="D334" s="14">
        <f t="shared" si="20"/>
        <v>0</v>
      </c>
      <c r="E334" s="14">
        <f>IF(A334&gt;$M$3,0,IF(DADOS!$C$11="PRICE",IF(A334&lt;=$M$4,D334,$M$6),IF(DADOS!$C$11="SAC",IF(A334&lt;=$M$4,D334,$M$7 + D334),IF(DADOS!$C$11="AMERICANO",IF(A334&lt;$M$3,D334,D334+C334),0))))</f>
        <v>0</v>
      </c>
      <c r="F334" s="14">
        <f>IF(A334&gt;$M$3,0,DADOS!$C$18)</f>
        <v>0</v>
      </c>
      <c r="G334" s="14">
        <f>IF(A334&gt;$M$3,0,B334*DADOS!$C$19)</f>
        <v>0</v>
      </c>
      <c r="H334" s="14">
        <f t="shared" si="21"/>
        <v>0</v>
      </c>
      <c r="I334" s="14">
        <f t="shared" si="22"/>
        <v>0</v>
      </c>
      <c r="J334" s="14">
        <f t="shared" si="23"/>
        <v>0</v>
      </c>
    </row>
    <row r="335" spans="1:10" x14ac:dyDescent="0.25">
      <c r="A335" s="15">
        <v>329</v>
      </c>
      <c r="B335" s="14">
        <f>IF(A335&gt;$M$3,0,IF(A335=1,DADOS!$C$7,I334))</f>
        <v>0</v>
      </c>
      <c r="C335" s="14">
        <f>IF(A335&gt;$M$3,0,IF(DADOS!$C$11="PRICE",IF(A335&lt;=$M$4,0,MAX(0,E335-D335)),IF(DADOS!$C$11="SAC",IF(A335&lt;=$M$4,0,MIN($M$7,B335)),IF(DADOS!$C$11="AMERICANO",IF(A335=$M$3,MIN(DADOS!$C$7,B335),0),0))))</f>
        <v>0</v>
      </c>
      <c r="D335" s="14">
        <f t="shared" si="20"/>
        <v>0</v>
      </c>
      <c r="E335" s="14">
        <f>IF(A335&gt;$M$3,0,IF(DADOS!$C$11="PRICE",IF(A335&lt;=$M$4,D335,$M$6),IF(DADOS!$C$11="SAC",IF(A335&lt;=$M$4,D335,$M$7 + D335),IF(DADOS!$C$11="AMERICANO",IF(A335&lt;$M$3,D335,D335+C335),0))))</f>
        <v>0</v>
      </c>
      <c r="F335" s="14">
        <f>IF(A335&gt;$M$3,0,DADOS!$C$18)</f>
        <v>0</v>
      </c>
      <c r="G335" s="14">
        <f>IF(A335&gt;$M$3,0,B335*DADOS!$C$19)</f>
        <v>0</v>
      </c>
      <c r="H335" s="14">
        <f t="shared" si="21"/>
        <v>0</v>
      </c>
      <c r="I335" s="14">
        <f t="shared" si="22"/>
        <v>0</v>
      </c>
      <c r="J335" s="14">
        <f t="shared" si="23"/>
        <v>0</v>
      </c>
    </row>
    <row r="336" spans="1:10" x14ac:dyDescent="0.25">
      <c r="A336" s="15">
        <v>330</v>
      </c>
      <c r="B336" s="14">
        <f>IF(A336&gt;$M$3,0,IF(A336=1,DADOS!$C$7,I335))</f>
        <v>0</v>
      </c>
      <c r="C336" s="14">
        <f>IF(A336&gt;$M$3,0,IF(DADOS!$C$11="PRICE",IF(A336&lt;=$M$4,0,MAX(0,E336-D336)),IF(DADOS!$C$11="SAC",IF(A336&lt;=$M$4,0,MIN($M$7,B336)),IF(DADOS!$C$11="AMERICANO",IF(A336=$M$3,MIN(DADOS!$C$7,B336),0),0))))</f>
        <v>0</v>
      </c>
      <c r="D336" s="14">
        <f t="shared" si="20"/>
        <v>0</v>
      </c>
      <c r="E336" s="14">
        <f>IF(A336&gt;$M$3,0,IF(DADOS!$C$11="PRICE",IF(A336&lt;=$M$4,D336,$M$6),IF(DADOS!$C$11="SAC",IF(A336&lt;=$M$4,D336,$M$7 + D336),IF(DADOS!$C$11="AMERICANO",IF(A336&lt;$M$3,D336,D336+C336),0))))</f>
        <v>0</v>
      </c>
      <c r="F336" s="14">
        <f>IF(A336&gt;$M$3,0,DADOS!$C$18)</f>
        <v>0</v>
      </c>
      <c r="G336" s="14">
        <f>IF(A336&gt;$M$3,0,B336*DADOS!$C$19)</f>
        <v>0</v>
      </c>
      <c r="H336" s="14">
        <f t="shared" si="21"/>
        <v>0</v>
      </c>
      <c r="I336" s="14">
        <f t="shared" si="22"/>
        <v>0</v>
      </c>
      <c r="J336" s="14">
        <f t="shared" si="23"/>
        <v>0</v>
      </c>
    </row>
    <row r="337" spans="1:10" x14ac:dyDescent="0.25">
      <c r="A337" s="15">
        <v>331</v>
      </c>
      <c r="B337" s="14">
        <f>IF(A337&gt;$M$3,0,IF(A337=1,DADOS!$C$7,I336))</f>
        <v>0</v>
      </c>
      <c r="C337" s="14">
        <f>IF(A337&gt;$M$3,0,IF(DADOS!$C$11="PRICE",IF(A337&lt;=$M$4,0,MAX(0,E337-D337)),IF(DADOS!$C$11="SAC",IF(A337&lt;=$M$4,0,MIN($M$7,B337)),IF(DADOS!$C$11="AMERICANO",IF(A337=$M$3,MIN(DADOS!$C$7,B337),0),0))))</f>
        <v>0</v>
      </c>
      <c r="D337" s="14">
        <f t="shared" si="20"/>
        <v>0</v>
      </c>
      <c r="E337" s="14">
        <f>IF(A337&gt;$M$3,0,IF(DADOS!$C$11="PRICE",IF(A337&lt;=$M$4,D337,$M$6),IF(DADOS!$C$11="SAC",IF(A337&lt;=$M$4,D337,$M$7 + D337),IF(DADOS!$C$11="AMERICANO",IF(A337&lt;$M$3,D337,D337+C337),0))))</f>
        <v>0</v>
      </c>
      <c r="F337" s="14">
        <f>IF(A337&gt;$M$3,0,DADOS!$C$18)</f>
        <v>0</v>
      </c>
      <c r="G337" s="14">
        <f>IF(A337&gt;$M$3,0,B337*DADOS!$C$19)</f>
        <v>0</v>
      </c>
      <c r="H337" s="14">
        <f t="shared" si="21"/>
        <v>0</v>
      </c>
      <c r="I337" s="14">
        <f t="shared" si="22"/>
        <v>0</v>
      </c>
      <c r="J337" s="14">
        <f t="shared" si="23"/>
        <v>0</v>
      </c>
    </row>
    <row r="338" spans="1:10" x14ac:dyDescent="0.25">
      <c r="A338" s="15">
        <v>332</v>
      </c>
      <c r="B338" s="14">
        <f>IF(A338&gt;$M$3,0,IF(A338=1,DADOS!$C$7,I337))</f>
        <v>0</v>
      </c>
      <c r="C338" s="14">
        <f>IF(A338&gt;$M$3,0,IF(DADOS!$C$11="PRICE",IF(A338&lt;=$M$4,0,MAX(0,E338-D338)),IF(DADOS!$C$11="SAC",IF(A338&lt;=$M$4,0,MIN($M$7,B338)),IF(DADOS!$C$11="AMERICANO",IF(A338=$M$3,MIN(DADOS!$C$7,B338),0),0))))</f>
        <v>0</v>
      </c>
      <c r="D338" s="14">
        <f t="shared" si="20"/>
        <v>0</v>
      </c>
      <c r="E338" s="14">
        <f>IF(A338&gt;$M$3,0,IF(DADOS!$C$11="PRICE",IF(A338&lt;=$M$4,D338,$M$6),IF(DADOS!$C$11="SAC",IF(A338&lt;=$M$4,D338,$M$7 + D338),IF(DADOS!$C$11="AMERICANO",IF(A338&lt;$M$3,D338,D338+C338),0))))</f>
        <v>0</v>
      </c>
      <c r="F338" s="14">
        <f>IF(A338&gt;$M$3,0,DADOS!$C$18)</f>
        <v>0</v>
      </c>
      <c r="G338" s="14">
        <f>IF(A338&gt;$M$3,0,B338*DADOS!$C$19)</f>
        <v>0</v>
      </c>
      <c r="H338" s="14">
        <f t="shared" si="21"/>
        <v>0</v>
      </c>
      <c r="I338" s="14">
        <f t="shared" si="22"/>
        <v>0</v>
      </c>
      <c r="J338" s="14">
        <f t="shared" si="23"/>
        <v>0</v>
      </c>
    </row>
    <row r="339" spans="1:10" x14ac:dyDescent="0.25">
      <c r="A339" s="15">
        <v>333</v>
      </c>
      <c r="B339" s="14">
        <f>IF(A339&gt;$M$3,0,IF(A339=1,DADOS!$C$7,I338))</f>
        <v>0</v>
      </c>
      <c r="C339" s="14">
        <f>IF(A339&gt;$M$3,0,IF(DADOS!$C$11="PRICE",IF(A339&lt;=$M$4,0,MAX(0,E339-D339)),IF(DADOS!$C$11="SAC",IF(A339&lt;=$M$4,0,MIN($M$7,B339)),IF(DADOS!$C$11="AMERICANO",IF(A339=$M$3,MIN(DADOS!$C$7,B339),0),0))))</f>
        <v>0</v>
      </c>
      <c r="D339" s="14">
        <f t="shared" si="20"/>
        <v>0</v>
      </c>
      <c r="E339" s="14">
        <f>IF(A339&gt;$M$3,0,IF(DADOS!$C$11="PRICE",IF(A339&lt;=$M$4,D339,$M$6),IF(DADOS!$C$11="SAC",IF(A339&lt;=$M$4,D339,$M$7 + D339),IF(DADOS!$C$11="AMERICANO",IF(A339&lt;$M$3,D339,D339+C339),0))))</f>
        <v>0</v>
      </c>
      <c r="F339" s="14">
        <f>IF(A339&gt;$M$3,0,DADOS!$C$18)</f>
        <v>0</v>
      </c>
      <c r="G339" s="14">
        <f>IF(A339&gt;$M$3,0,B339*DADOS!$C$19)</f>
        <v>0</v>
      </c>
      <c r="H339" s="14">
        <f t="shared" si="21"/>
        <v>0</v>
      </c>
      <c r="I339" s="14">
        <f t="shared" si="22"/>
        <v>0</v>
      </c>
      <c r="J339" s="14">
        <f t="shared" si="23"/>
        <v>0</v>
      </c>
    </row>
    <row r="340" spans="1:10" x14ac:dyDescent="0.25">
      <c r="A340" s="15">
        <v>334</v>
      </c>
      <c r="B340" s="14">
        <f>IF(A340&gt;$M$3,0,IF(A340=1,DADOS!$C$7,I339))</f>
        <v>0</v>
      </c>
      <c r="C340" s="14">
        <f>IF(A340&gt;$M$3,0,IF(DADOS!$C$11="PRICE",IF(A340&lt;=$M$4,0,MAX(0,E340-D340)),IF(DADOS!$C$11="SAC",IF(A340&lt;=$M$4,0,MIN($M$7,B340)),IF(DADOS!$C$11="AMERICANO",IF(A340=$M$3,MIN(DADOS!$C$7,B340),0),0))))</f>
        <v>0</v>
      </c>
      <c r="D340" s="14">
        <f t="shared" si="20"/>
        <v>0</v>
      </c>
      <c r="E340" s="14">
        <f>IF(A340&gt;$M$3,0,IF(DADOS!$C$11="PRICE",IF(A340&lt;=$M$4,D340,$M$6),IF(DADOS!$C$11="SAC",IF(A340&lt;=$M$4,D340,$M$7 + D340),IF(DADOS!$C$11="AMERICANO",IF(A340&lt;$M$3,D340,D340+C340),0))))</f>
        <v>0</v>
      </c>
      <c r="F340" s="14">
        <f>IF(A340&gt;$M$3,0,DADOS!$C$18)</f>
        <v>0</v>
      </c>
      <c r="G340" s="14">
        <f>IF(A340&gt;$M$3,0,B340*DADOS!$C$19)</f>
        <v>0</v>
      </c>
      <c r="H340" s="14">
        <f t="shared" si="21"/>
        <v>0</v>
      </c>
      <c r="I340" s="14">
        <f t="shared" si="22"/>
        <v>0</v>
      </c>
      <c r="J340" s="14">
        <f t="shared" si="23"/>
        <v>0</v>
      </c>
    </row>
    <row r="341" spans="1:10" x14ac:dyDescent="0.25">
      <c r="A341" s="15">
        <v>335</v>
      </c>
      <c r="B341" s="14">
        <f>IF(A341&gt;$M$3,0,IF(A341=1,DADOS!$C$7,I340))</f>
        <v>0</v>
      </c>
      <c r="C341" s="14">
        <f>IF(A341&gt;$M$3,0,IF(DADOS!$C$11="PRICE",IF(A341&lt;=$M$4,0,MAX(0,E341-D341)),IF(DADOS!$C$11="SAC",IF(A341&lt;=$M$4,0,MIN($M$7,B341)),IF(DADOS!$C$11="AMERICANO",IF(A341=$M$3,MIN(DADOS!$C$7,B341),0),0))))</f>
        <v>0</v>
      </c>
      <c r="D341" s="14">
        <f t="shared" si="20"/>
        <v>0</v>
      </c>
      <c r="E341" s="14">
        <f>IF(A341&gt;$M$3,0,IF(DADOS!$C$11="PRICE",IF(A341&lt;=$M$4,D341,$M$6),IF(DADOS!$C$11="SAC",IF(A341&lt;=$M$4,D341,$M$7 + D341),IF(DADOS!$C$11="AMERICANO",IF(A341&lt;$M$3,D341,D341+C341),0))))</f>
        <v>0</v>
      </c>
      <c r="F341" s="14">
        <f>IF(A341&gt;$M$3,0,DADOS!$C$18)</f>
        <v>0</v>
      </c>
      <c r="G341" s="14">
        <f>IF(A341&gt;$M$3,0,B341*DADOS!$C$19)</f>
        <v>0</v>
      </c>
      <c r="H341" s="14">
        <f t="shared" si="21"/>
        <v>0</v>
      </c>
      <c r="I341" s="14">
        <f t="shared" si="22"/>
        <v>0</v>
      </c>
      <c r="J341" s="14">
        <f t="shared" si="23"/>
        <v>0</v>
      </c>
    </row>
    <row r="342" spans="1:10" x14ac:dyDescent="0.25">
      <c r="A342" s="15">
        <v>336</v>
      </c>
      <c r="B342" s="14">
        <f>IF(A342&gt;$M$3,0,IF(A342=1,DADOS!$C$7,I341))</f>
        <v>0</v>
      </c>
      <c r="C342" s="14">
        <f>IF(A342&gt;$M$3,0,IF(DADOS!$C$11="PRICE",IF(A342&lt;=$M$4,0,MAX(0,E342-D342)),IF(DADOS!$C$11="SAC",IF(A342&lt;=$M$4,0,MIN($M$7,B342)),IF(DADOS!$C$11="AMERICANO",IF(A342=$M$3,MIN(DADOS!$C$7,B342),0),0))))</f>
        <v>0</v>
      </c>
      <c r="D342" s="14">
        <f t="shared" si="20"/>
        <v>0</v>
      </c>
      <c r="E342" s="14">
        <f>IF(A342&gt;$M$3,0,IF(DADOS!$C$11="PRICE",IF(A342&lt;=$M$4,D342,$M$6),IF(DADOS!$C$11="SAC",IF(A342&lt;=$M$4,D342,$M$7 + D342),IF(DADOS!$C$11="AMERICANO",IF(A342&lt;$M$3,D342,D342+C342),0))))</f>
        <v>0</v>
      </c>
      <c r="F342" s="14">
        <f>IF(A342&gt;$M$3,0,DADOS!$C$18)</f>
        <v>0</v>
      </c>
      <c r="G342" s="14">
        <f>IF(A342&gt;$M$3,0,B342*DADOS!$C$19)</f>
        <v>0</v>
      </c>
      <c r="H342" s="14">
        <f t="shared" si="21"/>
        <v>0</v>
      </c>
      <c r="I342" s="14">
        <f t="shared" si="22"/>
        <v>0</v>
      </c>
      <c r="J342" s="14">
        <f t="shared" si="23"/>
        <v>0</v>
      </c>
    </row>
    <row r="343" spans="1:10" x14ac:dyDescent="0.25">
      <c r="A343" s="15">
        <v>337</v>
      </c>
      <c r="B343" s="14">
        <f>IF(A343&gt;$M$3,0,IF(A343=1,DADOS!$C$7,I342))</f>
        <v>0</v>
      </c>
      <c r="C343" s="14">
        <f>IF(A343&gt;$M$3,0,IF(DADOS!$C$11="PRICE",IF(A343&lt;=$M$4,0,MAX(0,E343-D343)),IF(DADOS!$C$11="SAC",IF(A343&lt;=$M$4,0,MIN($M$7,B343)),IF(DADOS!$C$11="AMERICANO",IF(A343=$M$3,MIN(DADOS!$C$7,B343),0),0))))</f>
        <v>0</v>
      </c>
      <c r="D343" s="14">
        <f t="shared" si="20"/>
        <v>0</v>
      </c>
      <c r="E343" s="14">
        <f>IF(A343&gt;$M$3,0,IF(DADOS!$C$11="PRICE",IF(A343&lt;=$M$4,D343,$M$6),IF(DADOS!$C$11="SAC",IF(A343&lt;=$M$4,D343,$M$7 + D343),IF(DADOS!$C$11="AMERICANO",IF(A343&lt;$M$3,D343,D343+C343),0))))</f>
        <v>0</v>
      </c>
      <c r="F343" s="14">
        <f>IF(A343&gt;$M$3,0,DADOS!$C$18)</f>
        <v>0</v>
      </c>
      <c r="G343" s="14">
        <f>IF(A343&gt;$M$3,0,B343*DADOS!$C$19)</f>
        <v>0</v>
      </c>
      <c r="H343" s="14">
        <f t="shared" si="21"/>
        <v>0</v>
      </c>
      <c r="I343" s="14">
        <f t="shared" si="22"/>
        <v>0</v>
      </c>
      <c r="J343" s="14">
        <f t="shared" si="23"/>
        <v>0</v>
      </c>
    </row>
    <row r="344" spans="1:10" x14ac:dyDescent="0.25">
      <c r="A344" s="15">
        <v>338</v>
      </c>
      <c r="B344" s="14">
        <f>IF(A344&gt;$M$3,0,IF(A344=1,DADOS!$C$7,I343))</f>
        <v>0</v>
      </c>
      <c r="C344" s="14">
        <f>IF(A344&gt;$M$3,0,IF(DADOS!$C$11="PRICE",IF(A344&lt;=$M$4,0,MAX(0,E344-D344)),IF(DADOS!$C$11="SAC",IF(A344&lt;=$M$4,0,MIN($M$7,B344)),IF(DADOS!$C$11="AMERICANO",IF(A344=$M$3,MIN(DADOS!$C$7,B344),0),0))))</f>
        <v>0</v>
      </c>
      <c r="D344" s="14">
        <f t="shared" si="20"/>
        <v>0</v>
      </c>
      <c r="E344" s="14">
        <f>IF(A344&gt;$M$3,0,IF(DADOS!$C$11="PRICE",IF(A344&lt;=$M$4,D344,$M$6),IF(DADOS!$C$11="SAC",IF(A344&lt;=$M$4,D344,$M$7 + D344),IF(DADOS!$C$11="AMERICANO",IF(A344&lt;$M$3,D344,D344+C344),0))))</f>
        <v>0</v>
      </c>
      <c r="F344" s="14">
        <f>IF(A344&gt;$M$3,0,DADOS!$C$18)</f>
        <v>0</v>
      </c>
      <c r="G344" s="14">
        <f>IF(A344&gt;$M$3,0,B344*DADOS!$C$19)</f>
        <v>0</v>
      </c>
      <c r="H344" s="14">
        <f t="shared" si="21"/>
        <v>0</v>
      </c>
      <c r="I344" s="14">
        <f t="shared" si="22"/>
        <v>0</v>
      </c>
      <c r="J344" s="14">
        <f t="shared" si="23"/>
        <v>0</v>
      </c>
    </row>
    <row r="345" spans="1:10" x14ac:dyDescent="0.25">
      <c r="A345" s="15">
        <v>339</v>
      </c>
      <c r="B345" s="14">
        <f>IF(A345&gt;$M$3,0,IF(A345=1,DADOS!$C$7,I344))</f>
        <v>0</v>
      </c>
      <c r="C345" s="14">
        <f>IF(A345&gt;$M$3,0,IF(DADOS!$C$11="PRICE",IF(A345&lt;=$M$4,0,MAX(0,E345-D345)),IF(DADOS!$C$11="SAC",IF(A345&lt;=$M$4,0,MIN($M$7,B345)),IF(DADOS!$C$11="AMERICANO",IF(A345=$M$3,MIN(DADOS!$C$7,B345),0),0))))</f>
        <v>0</v>
      </c>
      <c r="D345" s="14">
        <f t="shared" si="20"/>
        <v>0</v>
      </c>
      <c r="E345" s="14">
        <f>IF(A345&gt;$M$3,0,IF(DADOS!$C$11="PRICE",IF(A345&lt;=$M$4,D345,$M$6),IF(DADOS!$C$11="SAC",IF(A345&lt;=$M$4,D345,$M$7 + D345),IF(DADOS!$C$11="AMERICANO",IF(A345&lt;$M$3,D345,D345+C345),0))))</f>
        <v>0</v>
      </c>
      <c r="F345" s="14">
        <f>IF(A345&gt;$M$3,0,DADOS!$C$18)</f>
        <v>0</v>
      </c>
      <c r="G345" s="14">
        <f>IF(A345&gt;$M$3,0,B345*DADOS!$C$19)</f>
        <v>0</v>
      </c>
      <c r="H345" s="14">
        <f t="shared" si="21"/>
        <v>0</v>
      </c>
      <c r="I345" s="14">
        <f t="shared" si="22"/>
        <v>0</v>
      </c>
      <c r="J345" s="14">
        <f t="shared" si="23"/>
        <v>0</v>
      </c>
    </row>
    <row r="346" spans="1:10" x14ac:dyDescent="0.25">
      <c r="A346" s="15">
        <v>340</v>
      </c>
      <c r="B346" s="14">
        <f>IF(A346&gt;$M$3,0,IF(A346=1,DADOS!$C$7,I345))</f>
        <v>0</v>
      </c>
      <c r="C346" s="14">
        <f>IF(A346&gt;$M$3,0,IF(DADOS!$C$11="PRICE",IF(A346&lt;=$M$4,0,MAX(0,E346-D346)),IF(DADOS!$C$11="SAC",IF(A346&lt;=$M$4,0,MIN($M$7,B346)),IF(DADOS!$C$11="AMERICANO",IF(A346=$M$3,MIN(DADOS!$C$7,B346),0),0))))</f>
        <v>0</v>
      </c>
      <c r="D346" s="14">
        <f t="shared" si="20"/>
        <v>0</v>
      </c>
      <c r="E346" s="14">
        <f>IF(A346&gt;$M$3,0,IF(DADOS!$C$11="PRICE",IF(A346&lt;=$M$4,D346,$M$6),IF(DADOS!$C$11="SAC",IF(A346&lt;=$M$4,D346,$M$7 + D346),IF(DADOS!$C$11="AMERICANO",IF(A346&lt;$M$3,D346,D346+C346),0))))</f>
        <v>0</v>
      </c>
      <c r="F346" s="14">
        <f>IF(A346&gt;$M$3,0,DADOS!$C$18)</f>
        <v>0</v>
      </c>
      <c r="G346" s="14">
        <f>IF(A346&gt;$M$3,0,B346*DADOS!$C$19)</f>
        <v>0</v>
      </c>
      <c r="H346" s="14">
        <f t="shared" si="21"/>
        <v>0</v>
      </c>
      <c r="I346" s="14">
        <f t="shared" si="22"/>
        <v>0</v>
      </c>
      <c r="J346" s="14">
        <f t="shared" si="23"/>
        <v>0</v>
      </c>
    </row>
    <row r="347" spans="1:10" x14ac:dyDescent="0.25">
      <c r="A347" s="15">
        <v>341</v>
      </c>
      <c r="B347" s="14">
        <f>IF(A347&gt;$M$3,0,IF(A347=1,DADOS!$C$7,I346))</f>
        <v>0</v>
      </c>
      <c r="C347" s="14">
        <f>IF(A347&gt;$M$3,0,IF(DADOS!$C$11="PRICE",IF(A347&lt;=$M$4,0,MAX(0,E347-D347)),IF(DADOS!$C$11="SAC",IF(A347&lt;=$M$4,0,MIN($M$7,B347)),IF(DADOS!$C$11="AMERICANO",IF(A347=$M$3,MIN(DADOS!$C$7,B347),0),0))))</f>
        <v>0</v>
      </c>
      <c r="D347" s="14">
        <f t="shared" si="20"/>
        <v>0</v>
      </c>
      <c r="E347" s="14">
        <f>IF(A347&gt;$M$3,0,IF(DADOS!$C$11="PRICE",IF(A347&lt;=$M$4,D347,$M$6),IF(DADOS!$C$11="SAC",IF(A347&lt;=$M$4,D347,$M$7 + D347),IF(DADOS!$C$11="AMERICANO",IF(A347&lt;$M$3,D347,D347+C347),0))))</f>
        <v>0</v>
      </c>
      <c r="F347" s="14">
        <f>IF(A347&gt;$M$3,0,DADOS!$C$18)</f>
        <v>0</v>
      </c>
      <c r="G347" s="14">
        <f>IF(A347&gt;$M$3,0,B347*DADOS!$C$19)</f>
        <v>0</v>
      </c>
      <c r="H347" s="14">
        <f t="shared" si="21"/>
        <v>0</v>
      </c>
      <c r="I347" s="14">
        <f t="shared" si="22"/>
        <v>0</v>
      </c>
      <c r="J347" s="14">
        <f t="shared" si="23"/>
        <v>0</v>
      </c>
    </row>
    <row r="348" spans="1:10" x14ac:dyDescent="0.25">
      <c r="A348" s="15">
        <v>342</v>
      </c>
      <c r="B348" s="14">
        <f>IF(A348&gt;$M$3,0,IF(A348=1,DADOS!$C$7,I347))</f>
        <v>0</v>
      </c>
      <c r="C348" s="14">
        <f>IF(A348&gt;$M$3,0,IF(DADOS!$C$11="PRICE",IF(A348&lt;=$M$4,0,MAX(0,E348-D348)),IF(DADOS!$C$11="SAC",IF(A348&lt;=$M$4,0,MIN($M$7,B348)),IF(DADOS!$C$11="AMERICANO",IF(A348=$M$3,MIN(DADOS!$C$7,B348),0),0))))</f>
        <v>0</v>
      </c>
      <c r="D348" s="14">
        <f t="shared" si="20"/>
        <v>0</v>
      </c>
      <c r="E348" s="14">
        <f>IF(A348&gt;$M$3,0,IF(DADOS!$C$11="PRICE",IF(A348&lt;=$M$4,D348,$M$6),IF(DADOS!$C$11="SAC",IF(A348&lt;=$M$4,D348,$M$7 + D348),IF(DADOS!$C$11="AMERICANO",IF(A348&lt;$M$3,D348,D348+C348),0))))</f>
        <v>0</v>
      </c>
      <c r="F348" s="14">
        <f>IF(A348&gt;$M$3,0,DADOS!$C$18)</f>
        <v>0</v>
      </c>
      <c r="G348" s="14">
        <f>IF(A348&gt;$M$3,0,B348*DADOS!$C$19)</f>
        <v>0</v>
      </c>
      <c r="H348" s="14">
        <f t="shared" si="21"/>
        <v>0</v>
      </c>
      <c r="I348" s="14">
        <f t="shared" si="22"/>
        <v>0</v>
      </c>
      <c r="J348" s="14">
        <f t="shared" si="23"/>
        <v>0</v>
      </c>
    </row>
    <row r="349" spans="1:10" x14ac:dyDescent="0.25">
      <c r="A349" s="15">
        <v>343</v>
      </c>
      <c r="B349" s="14">
        <f>IF(A349&gt;$M$3,0,IF(A349=1,DADOS!$C$7,I348))</f>
        <v>0</v>
      </c>
      <c r="C349" s="14">
        <f>IF(A349&gt;$M$3,0,IF(DADOS!$C$11="PRICE",IF(A349&lt;=$M$4,0,MAX(0,E349-D349)),IF(DADOS!$C$11="SAC",IF(A349&lt;=$M$4,0,MIN($M$7,B349)),IF(DADOS!$C$11="AMERICANO",IF(A349=$M$3,MIN(DADOS!$C$7,B349),0),0))))</f>
        <v>0</v>
      </c>
      <c r="D349" s="14">
        <f t="shared" si="20"/>
        <v>0</v>
      </c>
      <c r="E349" s="14">
        <f>IF(A349&gt;$M$3,0,IF(DADOS!$C$11="PRICE",IF(A349&lt;=$M$4,D349,$M$6),IF(DADOS!$C$11="SAC",IF(A349&lt;=$M$4,D349,$M$7 + D349),IF(DADOS!$C$11="AMERICANO",IF(A349&lt;$M$3,D349,D349+C349),0))))</f>
        <v>0</v>
      </c>
      <c r="F349" s="14">
        <f>IF(A349&gt;$M$3,0,DADOS!$C$18)</f>
        <v>0</v>
      </c>
      <c r="G349" s="14">
        <f>IF(A349&gt;$M$3,0,B349*DADOS!$C$19)</f>
        <v>0</v>
      </c>
      <c r="H349" s="14">
        <f t="shared" si="21"/>
        <v>0</v>
      </c>
      <c r="I349" s="14">
        <f t="shared" si="22"/>
        <v>0</v>
      </c>
      <c r="J349" s="14">
        <f t="shared" si="23"/>
        <v>0</v>
      </c>
    </row>
    <row r="350" spans="1:10" x14ac:dyDescent="0.25">
      <c r="A350" s="15">
        <v>344</v>
      </c>
      <c r="B350" s="14">
        <f>IF(A350&gt;$M$3,0,IF(A350=1,DADOS!$C$7,I349))</f>
        <v>0</v>
      </c>
      <c r="C350" s="14">
        <f>IF(A350&gt;$M$3,0,IF(DADOS!$C$11="PRICE",IF(A350&lt;=$M$4,0,MAX(0,E350-D350)),IF(DADOS!$C$11="SAC",IF(A350&lt;=$M$4,0,MIN($M$7,B350)),IF(DADOS!$C$11="AMERICANO",IF(A350=$M$3,MIN(DADOS!$C$7,B350),0),0))))</f>
        <v>0</v>
      </c>
      <c r="D350" s="14">
        <f t="shared" si="20"/>
        <v>0</v>
      </c>
      <c r="E350" s="14">
        <f>IF(A350&gt;$M$3,0,IF(DADOS!$C$11="PRICE",IF(A350&lt;=$M$4,D350,$M$6),IF(DADOS!$C$11="SAC",IF(A350&lt;=$M$4,D350,$M$7 + D350),IF(DADOS!$C$11="AMERICANO",IF(A350&lt;$M$3,D350,D350+C350),0))))</f>
        <v>0</v>
      </c>
      <c r="F350" s="14">
        <f>IF(A350&gt;$M$3,0,DADOS!$C$18)</f>
        <v>0</v>
      </c>
      <c r="G350" s="14">
        <f>IF(A350&gt;$M$3,0,B350*DADOS!$C$19)</f>
        <v>0</v>
      </c>
      <c r="H350" s="14">
        <f t="shared" si="21"/>
        <v>0</v>
      </c>
      <c r="I350" s="14">
        <f t="shared" si="22"/>
        <v>0</v>
      </c>
      <c r="J350" s="14">
        <f t="shared" si="23"/>
        <v>0</v>
      </c>
    </row>
    <row r="351" spans="1:10" x14ac:dyDescent="0.25">
      <c r="A351" s="15">
        <v>345</v>
      </c>
      <c r="B351" s="14">
        <f>IF(A351&gt;$M$3,0,IF(A351=1,DADOS!$C$7,I350))</f>
        <v>0</v>
      </c>
      <c r="C351" s="14">
        <f>IF(A351&gt;$M$3,0,IF(DADOS!$C$11="PRICE",IF(A351&lt;=$M$4,0,MAX(0,E351-D351)),IF(DADOS!$C$11="SAC",IF(A351&lt;=$M$4,0,MIN($M$7,B351)),IF(DADOS!$C$11="AMERICANO",IF(A351=$M$3,MIN(DADOS!$C$7,B351),0),0))))</f>
        <v>0</v>
      </c>
      <c r="D351" s="14">
        <f t="shared" si="20"/>
        <v>0</v>
      </c>
      <c r="E351" s="14">
        <f>IF(A351&gt;$M$3,0,IF(DADOS!$C$11="PRICE",IF(A351&lt;=$M$4,D351,$M$6),IF(DADOS!$C$11="SAC",IF(A351&lt;=$M$4,D351,$M$7 + D351),IF(DADOS!$C$11="AMERICANO",IF(A351&lt;$M$3,D351,D351+C351),0))))</f>
        <v>0</v>
      </c>
      <c r="F351" s="14">
        <f>IF(A351&gt;$M$3,0,DADOS!$C$18)</f>
        <v>0</v>
      </c>
      <c r="G351" s="14">
        <f>IF(A351&gt;$M$3,0,B351*DADOS!$C$19)</f>
        <v>0</v>
      </c>
      <c r="H351" s="14">
        <f t="shared" si="21"/>
        <v>0</v>
      </c>
      <c r="I351" s="14">
        <f t="shared" si="22"/>
        <v>0</v>
      </c>
      <c r="J351" s="14">
        <f t="shared" si="23"/>
        <v>0</v>
      </c>
    </row>
    <row r="352" spans="1:10" x14ac:dyDescent="0.25">
      <c r="A352" s="15">
        <v>346</v>
      </c>
      <c r="B352" s="14">
        <f>IF(A352&gt;$M$3,0,IF(A352=1,DADOS!$C$7,I351))</f>
        <v>0</v>
      </c>
      <c r="C352" s="14">
        <f>IF(A352&gt;$M$3,0,IF(DADOS!$C$11="PRICE",IF(A352&lt;=$M$4,0,MAX(0,E352-D352)),IF(DADOS!$C$11="SAC",IF(A352&lt;=$M$4,0,MIN($M$7,B352)),IF(DADOS!$C$11="AMERICANO",IF(A352=$M$3,MIN(DADOS!$C$7,B352),0),0))))</f>
        <v>0</v>
      </c>
      <c r="D352" s="14">
        <f t="shared" si="20"/>
        <v>0</v>
      </c>
      <c r="E352" s="14">
        <f>IF(A352&gt;$M$3,0,IF(DADOS!$C$11="PRICE",IF(A352&lt;=$M$4,D352,$M$6),IF(DADOS!$C$11="SAC",IF(A352&lt;=$M$4,D352,$M$7 + D352),IF(DADOS!$C$11="AMERICANO",IF(A352&lt;$M$3,D352,D352+C352),0))))</f>
        <v>0</v>
      </c>
      <c r="F352" s="14">
        <f>IF(A352&gt;$M$3,0,DADOS!$C$18)</f>
        <v>0</v>
      </c>
      <c r="G352" s="14">
        <f>IF(A352&gt;$M$3,0,B352*DADOS!$C$19)</f>
        <v>0</v>
      </c>
      <c r="H352" s="14">
        <f t="shared" si="21"/>
        <v>0</v>
      </c>
      <c r="I352" s="14">
        <f t="shared" si="22"/>
        <v>0</v>
      </c>
      <c r="J352" s="14">
        <f t="shared" si="23"/>
        <v>0</v>
      </c>
    </row>
    <row r="353" spans="1:10" x14ac:dyDescent="0.25">
      <c r="A353" s="15">
        <v>347</v>
      </c>
      <c r="B353" s="14">
        <f>IF(A353&gt;$M$3,0,IF(A353=1,DADOS!$C$7,I352))</f>
        <v>0</v>
      </c>
      <c r="C353" s="14">
        <f>IF(A353&gt;$M$3,0,IF(DADOS!$C$11="PRICE",IF(A353&lt;=$M$4,0,MAX(0,E353-D353)),IF(DADOS!$C$11="SAC",IF(A353&lt;=$M$4,0,MIN($M$7,B353)),IF(DADOS!$C$11="AMERICANO",IF(A353=$M$3,MIN(DADOS!$C$7,B353),0),0))))</f>
        <v>0</v>
      </c>
      <c r="D353" s="14">
        <f t="shared" si="20"/>
        <v>0</v>
      </c>
      <c r="E353" s="14">
        <f>IF(A353&gt;$M$3,0,IF(DADOS!$C$11="PRICE",IF(A353&lt;=$M$4,D353,$M$6),IF(DADOS!$C$11="SAC",IF(A353&lt;=$M$4,D353,$M$7 + D353),IF(DADOS!$C$11="AMERICANO",IF(A353&lt;$M$3,D353,D353+C353),0))))</f>
        <v>0</v>
      </c>
      <c r="F353" s="14">
        <f>IF(A353&gt;$M$3,0,DADOS!$C$18)</f>
        <v>0</v>
      </c>
      <c r="G353" s="14">
        <f>IF(A353&gt;$M$3,0,B353*DADOS!$C$19)</f>
        <v>0</v>
      </c>
      <c r="H353" s="14">
        <f t="shared" si="21"/>
        <v>0</v>
      </c>
      <c r="I353" s="14">
        <f t="shared" si="22"/>
        <v>0</v>
      </c>
      <c r="J353" s="14">
        <f t="shared" si="23"/>
        <v>0</v>
      </c>
    </row>
    <row r="354" spans="1:10" x14ac:dyDescent="0.25">
      <c r="A354" s="15">
        <v>348</v>
      </c>
      <c r="B354" s="14">
        <f>IF(A354&gt;$M$3,0,IF(A354=1,DADOS!$C$7,I353))</f>
        <v>0</v>
      </c>
      <c r="C354" s="14">
        <f>IF(A354&gt;$M$3,0,IF(DADOS!$C$11="PRICE",IF(A354&lt;=$M$4,0,MAX(0,E354-D354)),IF(DADOS!$C$11="SAC",IF(A354&lt;=$M$4,0,MIN($M$7,B354)),IF(DADOS!$C$11="AMERICANO",IF(A354=$M$3,MIN(DADOS!$C$7,B354),0),0))))</f>
        <v>0</v>
      </c>
      <c r="D354" s="14">
        <f t="shared" si="20"/>
        <v>0</v>
      </c>
      <c r="E354" s="14">
        <f>IF(A354&gt;$M$3,0,IF(DADOS!$C$11="PRICE",IF(A354&lt;=$M$4,D354,$M$6),IF(DADOS!$C$11="SAC",IF(A354&lt;=$M$4,D354,$M$7 + D354),IF(DADOS!$C$11="AMERICANO",IF(A354&lt;$M$3,D354,D354+C354),0))))</f>
        <v>0</v>
      </c>
      <c r="F354" s="14">
        <f>IF(A354&gt;$M$3,0,DADOS!$C$18)</f>
        <v>0</v>
      </c>
      <c r="G354" s="14">
        <f>IF(A354&gt;$M$3,0,B354*DADOS!$C$19)</f>
        <v>0</v>
      </c>
      <c r="H354" s="14">
        <f t="shared" si="21"/>
        <v>0</v>
      </c>
      <c r="I354" s="14">
        <f t="shared" si="22"/>
        <v>0</v>
      </c>
      <c r="J354" s="14">
        <f t="shared" si="23"/>
        <v>0</v>
      </c>
    </row>
    <row r="355" spans="1:10" x14ac:dyDescent="0.25">
      <c r="A355" s="15">
        <v>349</v>
      </c>
      <c r="B355" s="14">
        <f>IF(A355&gt;$M$3,0,IF(A355=1,DADOS!$C$7,I354))</f>
        <v>0</v>
      </c>
      <c r="C355" s="14">
        <f>IF(A355&gt;$M$3,0,IF(DADOS!$C$11="PRICE",IF(A355&lt;=$M$4,0,MAX(0,E355-D355)),IF(DADOS!$C$11="SAC",IF(A355&lt;=$M$4,0,MIN($M$7,B355)),IF(DADOS!$C$11="AMERICANO",IF(A355=$M$3,MIN(DADOS!$C$7,B355),0),0))))</f>
        <v>0</v>
      </c>
      <c r="D355" s="14">
        <f t="shared" si="20"/>
        <v>0</v>
      </c>
      <c r="E355" s="14">
        <f>IF(A355&gt;$M$3,0,IF(DADOS!$C$11="PRICE",IF(A355&lt;=$M$4,D355,$M$6),IF(DADOS!$C$11="SAC",IF(A355&lt;=$M$4,D355,$M$7 + D355),IF(DADOS!$C$11="AMERICANO",IF(A355&lt;$M$3,D355,D355+C355),0))))</f>
        <v>0</v>
      </c>
      <c r="F355" s="14">
        <f>IF(A355&gt;$M$3,0,DADOS!$C$18)</f>
        <v>0</v>
      </c>
      <c r="G355" s="14">
        <f>IF(A355&gt;$M$3,0,B355*DADOS!$C$19)</f>
        <v>0</v>
      </c>
      <c r="H355" s="14">
        <f t="shared" si="21"/>
        <v>0</v>
      </c>
      <c r="I355" s="14">
        <f t="shared" si="22"/>
        <v>0</v>
      </c>
      <c r="J355" s="14">
        <f t="shared" si="23"/>
        <v>0</v>
      </c>
    </row>
    <row r="356" spans="1:10" x14ac:dyDescent="0.25">
      <c r="A356" s="15">
        <v>350</v>
      </c>
      <c r="B356" s="14">
        <f>IF(A356&gt;$M$3,0,IF(A356=1,DADOS!$C$7,I355))</f>
        <v>0</v>
      </c>
      <c r="C356" s="14">
        <f>IF(A356&gt;$M$3,0,IF(DADOS!$C$11="PRICE",IF(A356&lt;=$M$4,0,MAX(0,E356-D356)),IF(DADOS!$C$11="SAC",IF(A356&lt;=$M$4,0,MIN($M$7,B356)),IF(DADOS!$C$11="AMERICANO",IF(A356=$M$3,MIN(DADOS!$C$7,B356),0),0))))</f>
        <v>0</v>
      </c>
      <c r="D356" s="14">
        <f t="shared" si="20"/>
        <v>0</v>
      </c>
      <c r="E356" s="14">
        <f>IF(A356&gt;$M$3,0,IF(DADOS!$C$11="PRICE",IF(A356&lt;=$M$4,D356,$M$6),IF(DADOS!$C$11="SAC",IF(A356&lt;=$M$4,D356,$M$7 + D356),IF(DADOS!$C$11="AMERICANO",IF(A356&lt;$M$3,D356,D356+C356),0))))</f>
        <v>0</v>
      </c>
      <c r="F356" s="14">
        <f>IF(A356&gt;$M$3,0,DADOS!$C$18)</f>
        <v>0</v>
      </c>
      <c r="G356" s="14">
        <f>IF(A356&gt;$M$3,0,B356*DADOS!$C$19)</f>
        <v>0</v>
      </c>
      <c r="H356" s="14">
        <f t="shared" si="21"/>
        <v>0</v>
      </c>
      <c r="I356" s="14">
        <f t="shared" si="22"/>
        <v>0</v>
      </c>
      <c r="J356" s="14">
        <f t="shared" si="23"/>
        <v>0</v>
      </c>
    </row>
    <row r="357" spans="1:10" x14ac:dyDescent="0.25">
      <c r="A357" s="15">
        <v>351</v>
      </c>
      <c r="B357" s="14">
        <f>IF(A357&gt;$M$3,0,IF(A357=1,DADOS!$C$7,I356))</f>
        <v>0</v>
      </c>
      <c r="C357" s="14">
        <f>IF(A357&gt;$M$3,0,IF(DADOS!$C$11="PRICE",IF(A357&lt;=$M$4,0,MAX(0,E357-D357)),IF(DADOS!$C$11="SAC",IF(A357&lt;=$M$4,0,MIN($M$7,B357)),IF(DADOS!$C$11="AMERICANO",IF(A357=$M$3,MIN(DADOS!$C$7,B357),0),0))))</f>
        <v>0</v>
      </c>
      <c r="D357" s="14">
        <f t="shared" si="20"/>
        <v>0</v>
      </c>
      <c r="E357" s="14">
        <f>IF(A357&gt;$M$3,0,IF(DADOS!$C$11="PRICE",IF(A357&lt;=$M$4,D357,$M$6),IF(DADOS!$C$11="SAC",IF(A357&lt;=$M$4,D357,$M$7 + D357),IF(DADOS!$C$11="AMERICANO",IF(A357&lt;$M$3,D357,D357+C357),0))))</f>
        <v>0</v>
      </c>
      <c r="F357" s="14">
        <f>IF(A357&gt;$M$3,0,DADOS!$C$18)</f>
        <v>0</v>
      </c>
      <c r="G357" s="14">
        <f>IF(A357&gt;$M$3,0,B357*DADOS!$C$19)</f>
        <v>0</v>
      </c>
      <c r="H357" s="14">
        <f t="shared" si="21"/>
        <v>0</v>
      </c>
      <c r="I357" s="14">
        <f t="shared" si="22"/>
        <v>0</v>
      </c>
      <c r="J357" s="14">
        <f t="shared" si="23"/>
        <v>0</v>
      </c>
    </row>
    <row r="358" spans="1:10" x14ac:dyDescent="0.25">
      <c r="A358" s="15">
        <v>352</v>
      </c>
      <c r="B358" s="14">
        <f>IF(A358&gt;$M$3,0,IF(A358=1,DADOS!$C$7,I357))</f>
        <v>0</v>
      </c>
      <c r="C358" s="14">
        <f>IF(A358&gt;$M$3,0,IF(DADOS!$C$11="PRICE",IF(A358&lt;=$M$4,0,MAX(0,E358-D358)),IF(DADOS!$C$11="SAC",IF(A358&lt;=$M$4,0,MIN($M$7,B358)),IF(DADOS!$C$11="AMERICANO",IF(A358=$M$3,MIN(DADOS!$C$7,B358),0),0))))</f>
        <v>0</v>
      </c>
      <c r="D358" s="14">
        <f t="shared" si="20"/>
        <v>0</v>
      </c>
      <c r="E358" s="14">
        <f>IF(A358&gt;$M$3,0,IF(DADOS!$C$11="PRICE",IF(A358&lt;=$M$4,D358,$M$6),IF(DADOS!$C$11="SAC",IF(A358&lt;=$M$4,D358,$M$7 + D358),IF(DADOS!$C$11="AMERICANO",IF(A358&lt;$M$3,D358,D358+C358),0))))</f>
        <v>0</v>
      </c>
      <c r="F358" s="14">
        <f>IF(A358&gt;$M$3,0,DADOS!$C$18)</f>
        <v>0</v>
      </c>
      <c r="G358" s="14">
        <f>IF(A358&gt;$M$3,0,B358*DADOS!$C$19)</f>
        <v>0</v>
      </c>
      <c r="H358" s="14">
        <f t="shared" si="21"/>
        <v>0</v>
      </c>
      <c r="I358" s="14">
        <f t="shared" si="22"/>
        <v>0</v>
      </c>
      <c r="J358" s="14">
        <f t="shared" si="23"/>
        <v>0</v>
      </c>
    </row>
    <row r="359" spans="1:10" x14ac:dyDescent="0.25">
      <c r="A359" s="15">
        <v>353</v>
      </c>
      <c r="B359" s="14">
        <f>IF(A359&gt;$M$3,0,IF(A359=1,DADOS!$C$7,I358))</f>
        <v>0</v>
      </c>
      <c r="C359" s="14">
        <f>IF(A359&gt;$M$3,0,IF(DADOS!$C$11="PRICE",IF(A359&lt;=$M$4,0,MAX(0,E359-D359)),IF(DADOS!$C$11="SAC",IF(A359&lt;=$M$4,0,MIN($M$7,B359)),IF(DADOS!$C$11="AMERICANO",IF(A359=$M$3,MIN(DADOS!$C$7,B359),0),0))))</f>
        <v>0</v>
      </c>
      <c r="D359" s="14">
        <f t="shared" si="20"/>
        <v>0</v>
      </c>
      <c r="E359" s="14">
        <f>IF(A359&gt;$M$3,0,IF(DADOS!$C$11="PRICE",IF(A359&lt;=$M$4,D359,$M$6),IF(DADOS!$C$11="SAC",IF(A359&lt;=$M$4,D359,$M$7 + D359),IF(DADOS!$C$11="AMERICANO",IF(A359&lt;$M$3,D359,D359+C359),0))))</f>
        <v>0</v>
      </c>
      <c r="F359" s="14">
        <f>IF(A359&gt;$M$3,0,DADOS!$C$18)</f>
        <v>0</v>
      </c>
      <c r="G359" s="14">
        <f>IF(A359&gt;$M$3,0,B359*DADOS!$C$19)</f>
        <v>0</v>
      </c>
      <c r="H359" s="14">
        <f t="shared" si="21"/>
        <v>0</v>
      </c>
      <c r="I359" s="14">
        <f t="shared" si="22"/>
        <v>0</v>
      </c>
      <c r="J359" s="14">
        <f t="shared" si="23"/>
        <v>0</v>
      </c>
    </row>
    <row r="360" spans="1:10" x14ac:dyDescent="0.25">
      <c r="A360" s="15">
        <v>354</v>
      </c>
      <c r="B360" s="14">
        <f>IF(A360&gt;$M$3,0,IF(A360=1,DADOS!$C$7,I359))</f>
        <v>0</v>
      </c>
      <c r="C360" s="14">
        <f>IF(A360&gt;$M$3,0,IF(DADOS!$C$11="PRICE",IF(A360&lt;=$M$4,0,MAX(0,E360-D360)),IF(DADOS!$C$11="SAC",IF(A360&lt;=$M$4,0,MIN($M$7,B360)),IF(DADOS!$C$11="AMERICANO",IF(A360=$M$3,MIN(DADOS!$C$7,B360),0),0))))</f>
        <v>0</v>
      </c>
      <c r="D360" s="14">
        <f t="shared" si="20"/>
        <v>0</v>
      </c>
      <c r="E360" s="14">
        <f>IF(A360&gt;$M$3,0,IF(DADOS!$C$11="PRICE",IF(A360&lt;=$M$4,D360,$M$6),IF(DADOS!$C$11="SAC",IF(A360&lt;=$M$4,D360,$M$7 + D360),IF(DADOS!$C$11="AMERICANO",IF(A360&lt;$M$3,D360,D360+C360),0))))</f>
        <v>0</v>
      </c>
      <c r="F360" s="14">
        <f>IF(A360&gt;$M$3,0,DADOS!$C$18)</f>
        <v>0</v>
      </c>
      <c r="G360" s="14">
        <f>IF(A360&gt;$M$3,0,B360*DADOS!$C$19)</f>
        <v>0</v>
      </c>
      <c r="H360" s="14">
        <f t="shared" si="21"/>
        <v>0</v>
      </c>
      <c r="I360" s="14">
        <f t="shared" si="22"/>
        <v>0</v>
      </c>
      <c r="J360" s="14">
        <f t="shared" si="23"/>
        <v>0</v>
      </c>
    </row>
    <row r="361" spans="1:10" x14ac:dyDescent="0.25">
      <c r="A361" s="15">
        <v>355</v>
      </c>
      <c r="B361" s="14">
        <f>IF(A361&gt;$M$3,0,IF(A361=1,DADOS!$C$7,I360))</f>
        <v>0</v>
      </c>
      <c r="C361" s="14">
        <f>IF(A361&gt;$M$3,0,IF(DADOS!$C$11="PRICE",IF(A361&lt;=$M$4,0,MAX(0,E361-D361)),IF(DADOS!$C$11="SAC",IF(A361&lt;=$M$4,0,MIN($M$7,B361)),IF(DADOS!$C$11="AMERICANO",IF(A361=$M$3,MIN(DADOS!$C$7,B361),0),0))))</f>
        <v>0</v>
      </c>
      <c r="D361" s="14">
        <f t="shared" si="20"/>
        <v>0</v>
      </c>
      <c r="E361" s="14">
        <f>IF(A361&gt;$M$3,0,IF(DADOS!$C$11="PRICE",IF(A361&lt;=$M$4,D361,$M$6),IF(DADOS!$C$11="SAC",IF(A361&lt;=$M$4,D361,$M$7 + D361),IF(DADOS!$C$11="AMERICANO",IF(A361&lt;$M$3,D361,D361+C361),0))))</f>
        <v>0</v>
      </c>
      <c r="F361" s="14">
        <f>IF(A361&gt;$M$3,0,DADOS!$C$18)</f>
        <v>0</v>
      </c>
      <c r="G361" s="14">
        <f>IF(A361&gt;$M$3,0,B361*DADOS!$C$19)</f>
        <v>0</v>
      </c>
      <c r="H361" s="14">
        <f t="shared" si="21"/>
        <v>0</v>
      </c>
      <c r="I361" s="14">
        <f t="shared" si="22"/>
        <v>0</v>
      </c>
      <c r="J361" s="14">
        <f t="shared" si="23"/>
        <v>0</v>
      </c>
    </row>
    <row r="362" spans="1:10" x14ac:dyDescent="0.25">
      <c r="A362" s="15">
        <v>356</v>
      </c>
      <c r="B362" s="14">
        <f>IF(A362&gt;$M$3,0,IF(A362=1,DADOS!$C$7,I361))</f>
        <v>0</v>
      </c>
      <c r="C362" s="14">
        <f>IF(A362&gt;$M$3,0,IF(DADOS!$C$11="PRICE",IF(A362&lt;=$M$4,0,MAX(0,E362-D362)),IF(DADOS!$C$11="SAC",IF(A362&lt;=$M$4,0,MIN($M$7,B362)),IF(DADOS!$C$11="AMERICANO",IF(A362=$M$3,MIN(DADOS!$C$7,B362),0),0))))</f>
        <v>0</v>
      </c>
      <c r="D362" s="14">
        <f t="shared" si="20"/>
        <v>0</v>
      </c>
      <c r="E362" s="14">
        <f>IF(A362&gt;$M$3,0,IF(DADOS!$C$11="PRICE",IF(A362&lt;=$M$4,D362,$M$6),IF(DADOS!$C$11="SAC",IF(A362&lt;=$M$4,D362,$M$7 + D362),IF(DADOS!$C$11="AMERICANO",IF(A362&lt;$M$3,D362,D362+C362),0))))</f>
        <v>0</v>
      </c>
      <c r="F362" s="14">
        <f>IF(A362&gt;$M$3,0,DADOS!$C$18)</f>
        <v>0</v>
      </c>
      <c r="G362" s="14">
        <f>IF(A362&gt;$M$3,0,B362*DADOS!$C$19)</f>
        <v>0</v>
      </c>
      <c r="H362" s="14">
        <f t="shared" si="21"/>
        <v>0</v>
      </c>
      <c r="I362" s="14">
        <f t="shared" si="22"/>
        <v>0</v>
      </c>
      <c r="J362" s="14">
        <f t="shared" si="23"/>
        <v>0</v>
      </c>
    </row>
    <row r="363" spans="1:10" x14ac:dyDescent="0.25">
      <c r="A363" s="15">
        <v>357</v>
      </c>
      <c r="B363" s="14">
        <f>IF(A363&gt;$M$3,0,IF(A363=1,DADOS!$C$7,I362))</f>
        <v>0</v>
      </c>
      <c r="C363" s="14">
        <f>IF(A363&gt;$M$3,0,IF(DADOS!$C$11="PRICE",IF(A363&lt;=$M$4,0,MAX(0,E363-D363)),IF(DADOS!$C$11="SAC",IF(A363&lt;=$M$4,0,MIN($M$7,B363)),IF(DADOS!$C$11="AMERICANO",IF(A363=$M$3,MIN(DADOS!$C$7,B363),0),0))))</f>
        <v>0</v>
      </c>
      <c r="D363" s="14">
        <f t="shared" si="20"/>
        <v>0</v>
      </c>
      <c r="E363" s="14">
        <f>IF(A363&gt;$M$3,0,IF(DADOS!$C$11="PRICE",IF(A363&lt;=$M$4,D363,$M$6),IF(DADOS!$C$11="SAC",IF(A363&lt;=$M$4,D363,$M$7 + D363),IF(DADOS!$C$11="AMERICANO",IF(A363&lt;$M$3,D363,D363+C363),0))))</f>
        <v>0</v>
      </c>
      <c r="F363" s="14">
        <f>IF(A363&gt;$M$3,0,DADOS!$C$18)</f>
        <v>0</v>
      </c>
      <c r="G363" s="14">
        <f>IF(A363&gt;$M$3,0,B363*DADOS!$C$19)</f>
        <v>0</v>
      </c>
      <c r="H363" s="14">
        <f t="shared" si="21"/>
        <v>0</v>
      </c>
      <c r="I363" s="14">
        <f t="shared" si="22"/>
        <v>0</v>
      </c>
      <c r="J363" s="14">
        <f t="shared" si="23"/>
        <v>0</v>
      </c>
    </row>
    <row r="364" spans="1:10" x14ac:dyDescent="0.25">
      <c r="A364" s="15">
        <v>358</v>
      </c>
      <c r="B364" s="14">
        <f>IF(A364&gt;$M$3,0,IF(A364=1,DADOS!$C$7,I363))</f>
        <v>0</v>
      </c>
      <c r="C364" s="14">
        <f>IF(A364&gt;$M$3,0,IF(DADOS!$C$11="PRICE",IF(A364&lt;=$M$4,0,MAX(0,E364-D364)),IF(DADOS!$C$11="SAC",IF(A364&lt;=$M$4,0,MIN($M$7,B364)),IF(DADOS!$C$11="AMERICANO",IF(A364=$M$3,MIN(DADOS!$C$7,B364),0),0))))</f>
        <v>0</v>
      </c>
      <c r="D364" s="14">
        <f t="shared" si="20"/>
        <v>0</v>
      </c>
      <c r="E364" s="14">
        <f>IF(A364&gt;$M$3,0,IF(DADOS!$C$11="PRICE",IF(A364&lt;=$M$4,D364,$M$6),IF(DADOS!$C$11="SAC",IF(A364&lt;=$M$4,D364,$M$7 + D364),IF(DADOS!$C$11="AMERICANO",IF(A364&lt;$M$3,D364,D364+C364),0))))</f>
        <v>0</v>
      </c>
      <c r="F364" s="14">
        <f>IF(A364&gt;$M$3,0,DADOS!$C$18)</f>
        <v>0</v>
      </c>
      <c r="G364" s="14">
        <f>IF(A364&gt;$M$3,0,B364*DADOS!$C$19)</f>
        <v>0</v>
      </c>
      <c r="H364" s="14">
        <f t="shared" si="21"/>
        <v>0</v>
      </c>
      <c r="I364" s="14">
        <f t="shared" si="22"/>
        <v>0</v>
      </c>
      <c r="J364" s="14">
        <f t="shared" si="23"/>
        <v>0</v>
      </c>
    </row>
    <row r="365" spans="1:10" x14ac:dyDescent="0.25">
      <c r="A365" s="15">
        <v>359</v>
      </c>
      <c r="B365" s="14">
        <f>IF(A365&gt;$M$3,0,IF(A365=1,DADOS!$C$7,I364))</f>
        <v>0</v>
      </c>
      <c r="C365" s="14">
        <f>IF(A365&gt;$M$3,0,IF(DADOS!$C$11="PRICE",IF(A365&lt;=$M$4,0,MAX(0,E365-D365)),IF(DADOS!$C$11="SAC",IF(A365&lt;=$M$4,0,MIN($M$7,B365)),IF(DADOS!$C$11="AMERICANO",IF(A365=$M$3,MIN(DADOS!$C$7,B365),0),0))))</f>
        <v>0</v>
      </c>
      <c r="D365" s="14">
        <f t="shared" si="20"/>
        <v>0</v>
      </c>
      <c r="E365" s="14">
        <f>IF(A365&gt;$M$3,0,IF(DADOS!$C$11="PRICE",IF(A365&lt;=$M$4,D365,$M$6),IF(DADOS!$C$11="SAC",IF(A365&lt;=$M$4,D365,$M$7 + D365),IF(DADOS!$C$11="AMERICANO",IF(A365&lt;$M$3,D365,D365+C365),0))))</f>
        <v>0</v>
      </c>
      <c r="F365" s="14">
        <f>IF(A365&gt;$M$3,0,DADOS!$C$18)</f>
        <v>0</v>
      </c>
      <c r="G365" s="14">
        <f>IF(A365&gt;$M$3,0,B365*DADOS!$C$19)</f>
        <v>0</v>
      </c>
      <c r="H365" s="14">
        <f t="shared" si="21"/>
        <v>0</v>
      </c>
      <c r="I365" s="14">
        <f t="shared" si="22"/>
        <v>0</v>
      </c>
      <c r="J365" s="14">
        <f t="shared" si="23"/>
        <v>0</v>
      </c>
    </row>
    <row r="366" spans="1:10" x14ac:dyDescent="0.25">
      <c r="A366" s="15">
        <v>360</v>
      </c>
      <c r="B366" s="14">
        <f>IF(A366&gt;$M$3,0,IF(A366=1,DADOS!$C$7,I365))</f>
        <v>0</v>
      </c>
      <c r="C366" s="14">
        <f>IF(A366&gt;$M$3,0,IF(DADOS!$C$11="PRICE",IF(A366&lt;=$M$4,0,MAX(0,E366-D366)),IF(DADOS!$C$11="SAC",IF(A366&lt;=$M$4,0,MIN($M$7,B366)),IF(DADOS!$C$11="AMERICANO",IF(A366=$M$3,MIN(DADOS!$C$7,B366),0),0))))</f>
        <v>0</v>
      </c>
      <c r="D366" s="14">
        <f t="shared" si="20"/>
        <v>0</v>
      </c>
      <c r="E366" s="14">
        <f>IF(A366&gt;$M$3,0,IF(DADOS!$C$11="PRICE",IF(A366&lt;=$M$4,D366,$M$6),IF(DADOS!$C$11="SAC",IF(A366&lt;=$M$4,D366,$M$7 + D366),IF(DADOS!$C$11="AMERICANO",IF(A366&lt;$M$3,D366,D366+C366),0))))</f>
        <v>0</v>
      </c>
      <c r="F366" s="14">
        <f>IF(A366&gt;$M$3,0,DADOS!$C$18)</f>
        <v>0</v>
      </c>
      <c r="G366" s="14">
        <f>IF(A366&gt;$M$3,0,B366*DADOS!$C$19)</f>
        <v>0</v>
      </c>
      <c r="H366" s="14">
        <f t="shared" si="21"/>
        <v>0</v>
      </c>
      <c r="I366" s="14">
        <f t="shared" si="22"/>
        <v>0</v>
      </c>
      <c r="J366" s="14">
        <f t="shared" si="23"/>
        <v>0</v>
      </c>
    </row>
  </sheetData>
  <mergeCells count="3">
    <mergeCell ref="A1:K2"/>
    <mergeCell ref="A3:K3"/>
    <mergeCell ref="J4:K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35"/>
  <sheetViews>
    <sheetView showGridLines="0" workbookViewId="0">
      <selection activeCell="J9" sqref="J9"/>
    </sheetView>
  </sheetViews>
  <sheetFormatPr defaultRowHeight="15" x14ac:dyDescent="0.25"/>
  <cols>
    <col min="1" max="1" width="3" customWidth="1"/>
    <col min="2" max="2" width="30" customWidth="1"/>
    <col min="3" max="3" width="20" customWidth="1"/>
    <col min="4" max="4" width="3" customWidth="1"/>
    <col min="5" max="10" width="16" customWidth="1"/>
    <col min="11" max="11" width="3" customWidth="1"/>
  </cols>
  <sheetData>
    <row r="1" spans="1:11" ht="27.95" customHeight="1" x14ac:dyDescent="0.25">
      <c r="A1" s="32" t="s">
        <v>65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8" customHeight="1" x14ac:dyDescent="0.25">
      <c r="A3" s="26" t="s">
        <v>66</v>
      </c>
      <c r="B3" s="27"/>
      <c r="C3" s="27"/>
      <c r="D3" s="27"/>
      <c r="E3" s="27"/>
      <c r="F3" s="27"/>
      <c r="G3" s="27"/>
      <c r="H3" s="27"/>
      <c r="I3" s="27"/>
      <c r="J3" s="27"/>
      <c r="K3" s="19"/>
    </row>
    <row r="4" spans="1:11" ht="15" customHeight="1" x14ac:dyDescent="0.25">
      <c r="I4" s="94" t="str">
        <f>HYPERLINK("#'DADOS'!A1","← Voltar para DADOS")</f>
        <v>← Voltar para DADOS</v>
      </c>
      <c r="J4" s="94"/>
      <c r="K4" s="95"/>
    </row>
    <row r="6" spans="1:11" ht="17.25" x14ac:dyDescent="0.3">
      <c r="B6" s="2" t="s">
        <v>67</v>
      </c>
    </row>
    <row r="7" spans="1:11" ht="24" customHeight="1" x14ac:dyDescent="0.25">
      <c r="B7" s="5" t="s">
        <v>68</v>
      </c>
      <c r="C7" s="76">
        <v>0</v>
      </c>
      <c r="E7" s="3" t="s">
        <v>69</v>
      </c>
      <c r="F7" s="89">
        <f>DADOS!$F$7</f>
        <v>0</v>
      </c>
    </row>
    <row r="8" spans="1:11" ht="30" x14ac:dyDescent="0.25">
      <c r="B8" s="5" t="s">
        <v>70</v>
      </c>
      <c r="C8" s="76">
        <v>60</v>
      </c>
      <c r="E8" s="3" t="s">
        <v>71</v>
      </c>
      <c r="F8" s="92">
        <f>DADOS!$C$8</f>
        <v>0</v>
      </c>
    </row>
    <row r="9" spans="1:11" ht="45" x14ac:dyDescent="0.25">
      <c r="E9" s="3" t="s">
        <v>72</v>
      </c>
      <c r="F9" s="92">
        <f>MAX($C$7+1,$F$8-$C$8+1)</f>
        <v>1</v>
      </c>
    </row>
    <row r="10" spans="1:11" ht="30" x14ac:dyDescent="0.25">
      <c r="E10" s="3" t="s">
        <v>73</v>
      </c>
      <c r="F10" s="92">
        <f>MAX(0,$F$8-$F$9+1)</f>
        <v>0</v>
      </c>
    </row>
    <row r="11" spans="1:11" ht="17.25" x14ac:dyDescent="0.3">
      <c r="B11" s="2" t="s">
        <v>74</v>
      </c>
    </row>
    <row r="12" spans="1:11" ht="30" x14ac:dyDescent="0.25">
      <c r="B12" s="1" t="s">
        <v>75</v>
      </c>
      <c r="C12" s="88">
        <f>SUM(G16:G135)</f>
        <v>0</v>
      </c>
    </row>
    <row r="13" spans="1:11" ht="30" x14ac:dyDescent="0.25">
      <c r="B13" s="1" t="s">
        <v>76</v>
      </c>
      <c r="C13" s="88">
        <f>SUM(J16:J135)</f>
        <v>0</v>
      </c>
    </row>
    <row r="14" spans="1:11" ht="29.25" customHeight="1" x14ac:dyDescent="0.25">
      <c r="B14" s="1" t="s">
        <v>77</v>
      </c>
      <c r="C14" s="88">
        <f>C12-C13</f>
        <v>0</v>
      </c>
    </row>
    <row r="15" spans="1:11" ht="30" x14ac:dyDescent="0.25">
      <c r="E15" s="11" t="s">
        <v>78</v>
      </c>
      <c r="F15" s="11" t="s">
        <v>79</v>
      </c>
      <c r="G15" s="11" t="s">
        <v>80</v>
      </c>
      <c r="I15" s="11" t="s">
        <v>81</v>
      </c>
      <c r="J15" s="11" t="s">
        <v>82</v>
      </c>
    </row>
    <row r="16" spans="1:11" x14ac:dyDescent="0.25">
      <c r="B16" s="33" t="s">
        <v>83</v>
      </c>
      <c r="C16" s="22"/>
      <c r="E16" s="16" t="str">
        <f>IF(1&lt;=$F$10,$F$9+1-1,"")</f>
        <v/>
      </c>
      <c r="F16" s="16" t="str">
        <f t="shared" ref="F16:F47" si="0">IF(E16="","",E16-$C$7)</f>
        <v/>
      </c>
      <c r="G16" s="17" t="str">
        <f>IF(E16="","",INDEX(CRONOGRAMA!$H$7:$H$366,E16))</f>
        <v/>
      </c>
      <c r="I16" s="18" t="str">
        <f t="shared" ref="I16:I47" si="1">IF(E16="","",(1+$F$7)^F16)</f>
        <v/>
      </c>
      <c r="J16" s="17" t="str">
        <f t="shared" ref="J16:J47" si="2">IF(E16="","",G16/I16)</f>
        <v/>
      </c>
    </row>
    <row r="17" spans="2:10" x14ac:dyDescent="0.25">
      <c r="B17" s="29"/>
      <c r="C17" s="31"/>
      <c r="E17" s="16" t="str">
        <f>IF(2&lt;=$F$10,$F$9+2-1,"")</f>
        <v/>
      </c>
      <c r="F17" s="16" t="str">
        <f t="shared" si="0"/>
        <v/>
      </c>
      <c r="G17" s="17" t="str">
        <f>IF(E17="","",INDEX(CRONOGRAMA!$H$7:$H$366,E17))</f>
        <v/>
      </c>
      <c r="I17" s="18" t="str">
        <f t="shared" si="1"/>
        <v/>
      </c>
      <c r="J17" s="17" t="str">
        <f t="shared" si="2"/>
        <v/>
      </c>
    </row>
    <row r="18" spans="2:10" x14ac:dyDescent="0.25">
      <c r="B18" s="23"/>
      <c r="C18" s="25"/>
      <c r="E18" s="16" t="str">
        <f>IF(3&lt;=$F$10,$F$9+3-1,"")</f>
        <v/>
      </c>
      <c r="F18" s="16" t="str">
        <f t="shared" si="0"/>
        <v/>
      </c>
      <c r="G18" s="17" t="str">
        <f>IF(E18="","",INDEX(CRONOGRAMA!$H$7:$H$366,E18))</f>
        <v/>
      </c>
      <c r="I18" s="18" t="str">
        <f t="shared" si="1"/>
        <v/>
      </c>
      <c r="J18" s="17" t="str">
        <f t="shared" si="2"/>
        <v/>
      </c>
    </row>
    <row r="19" spans="2:10" x14ac:dyDescent="0.25">
      <c r="E19" s="16" t="str">
        <f>IF(4&lt;=$F$10,$F$9+4-1,"")</f>
        <v/>
      </c>
      <c r="F19" s="16" t="str">
        <f t="shared" si="0"/>
        <v/>
      </c>
      <c r="G19" s="17" t="str">
        <f>IF(E19="","",INDEX(CRONOGRAMA!$H$7:$H$366,E19))</f>
        <v/>
      </c>
      <c r="I19" s="18" t="str">
        <f t="shared" si="1"/>
        <v/>
      </c>
      <c r="J19" s="17" t="str">
        <f t="shared" si="2"/>
        <v/>
      </c>
    </row>
    <row r="20" spans="2:10" x14ac:dyDescent="0.25">
      <c r="E20" s="16" t="str">
        <f>IF(5&lt;=$F$10,$F$9+5-1,"")</f>
        <v/>
      </c>
      <c r="F20" s="16" t="str">
        <f t="shared" si="0"/>
        <v/>
      </c>
      <c r="G20" s="17" t="str">
        <f>IF(E20="","",INDEX(CRONOGRAMA!$H$7:$H$366,E20))</f>
        <v/>
      </c>
      <c r="I20" s="18" t="str">
        <f t="shared" si="1"/>
        <v/>
      </c>
      <c r="J20" s="17" t="str">
        <f t="shared" si="2"/>
        <v/>
      </c>
    </row>
    <row r="21" spans="2:10" x14ac:dyDescent="0.25">
      <c r="E21" s="16" t="str">
        <f>IF(6&lt;=$F$10,$F$9+6-1,"")</f>
        <v/>
      </c>
      <c r="F21" s="16" t="str">
        <f t="shared" si="0"/>
        <v/>
      </c>
      <c r="G21" s="17" t="str">
        <f>IF(E21="","",INDEX(CRONOGRAMA!$H$7:$H$366,E21))</f>
        <v/>
      </c>
      <c r="I21" s="18" t="str">
        <f t="shared" si="1"/>
        <v/>
      </c>
      <c r="J21" s="17" t="str">
        <f t="shared" si="2"/>
        <v/>
      </c>
    </row>
    <row r="22" spans="2:10" x14ac:dyDescent="0.25">
      <c r="E22" s="16" t="str">
        <f>IF(7&lt;=$F$10,$F$9+7-1,"")</f>
        <v/>
      </c>
      <c r="F22" s="16" t="str">
        <f t="shared" si="0"/>
        <v/>
      </c>
      <c r="G22" s="17" t="str">
        <f>IF(E22="","",INDEX(CRONOGRAMA!$H$7:$H$366,E22))</f>
        <v/>
      </c>
      <c r="I22" s="18" t="str">
        <f t="shared" si="1"/>
        <v/>
      </c>
      <c r="J22" s="17" t="str">
        <f t="shared" si="2"/>
        <v/>
      </c>
    </row>
    <row r="23" spans="2:10" x14ac:dyDescent="0.25">
      <c r="E23" s="16" t="str">
        <f>IF(8&lt;=$F$10,$F$9+8-1,"")</f>
        <v/>
      </c>
      <c r="F23" s="16" t="str">
        <f t="shared" si="0"/>
        <v/>
      </c>
      <c r="G23" s="17" t="str">
        <f>IF(E23="","",INDEX(CRONOGRAMA!$H$7:$H$366,E23))</f>
        <v/>
      </c>
      <c r="I23" s="18" t="str">
        <f t="shared" si="1"/>
        <v/>
      </c>
      <c r="J23" s="17" t="str">
        <f t="shared" si="2"/>
        <v/>
      </c>
    </row>
    <row r="24" spans="2:10" x14ac:dyDescent="0.25">
      <c r="E24" s="16" t="str">
        <f>IF(9&lt;=$F$10,$F$9+9-1,"")</f>
        <v/>
      </c>
      <c r="F24" s="16" t="str">
        <f t="shared" si="0"/>
        <v/>
      </c>
      <c r="G24" s="17" t="str">
        <f>IF(E24="","",INDEX(CRONOGRAMA!$H$7:$H$366,E24))</f>
        <v/>
      </c>
      <c r="I24" s="18" t="str">
        <f t="shared" si="1"/>
        <v/>
      </c>
      <c r="J24" s="17" t="str">
        <f t="shared" si="2"/>
        <v/>
      </c>
    </row>
    <row r="25" spans="2:10" x14ac:dyDescent="0.25">
      <c r="E25" s="16" t="str">
        <f>IF(10&lt;=$F$10,$F$9+10-1,"")</f>
        <v/>
      </c>
      <c r="F25" s="16" t="str">
        <f t="shared" si="0"/>
        <v/>
      </c>
      <c r="G25" s="17" t="str">
        <f>IF(E25="","",INDEX(CRONOGRAMA!$H$7:$H$366,E25))</f>
        <v/>
      </c>
      <c r="I25" s="18" t="str">
        <f t="shared" si="1"/>
        <v/>
      </c>
      <c r="J25" s="17" t="str">
        <f t="shared" si="2"/>
        <v/>
      </c>
    </row>
    <row r="26" spans="2:10" x14ac:dyDescent="0.25">
      <c r="E26" s="16" t="str">
        <f>IF(11&lt;=$F$10,$F$9+11-1,"")</f>
        <v/>
      </c>
      <c r="F26" s="16" t="str">
        <f t="shared" si="0"/>
        <v/>
      </c>
      <c r="G26" s="17" t="str">
        <f>IF(E26="","",INDEX(CRONOGRAMA!$H$7:$H$366,E26))</f>
        <v/>
      </c>
      <c r="I26" s="18" t="str">
        <f t="shared" si="1"/>
        <v/>
      </c>
      <c r="J26" s="17" t="str">
        <f t="shared" si="2"/>
        <v/>
      </c>
    </row>
    <row r="27" spans="2:10" x14ac:dyDescent="0.25">
      <c r="E27" s="16" t="str">
        <f>IF(12&lt;=$F$10,$F$9+12-1,"")</f>
        <v/>
      </c>
      <c r="F27" s="16" t="str">
        <f t="shared" si="0"/>
        <v/>
      </c>
      <c r="G27" s="17" t="str">
        <f>IF(E27="","",INDEX(CRONOGRAMA!$H$7:$H$366,E27))</f>
        <v/>
      </c>
      <c r="I27" s="18" t="str">
        <f t="shared" si="1"/>
        <v/>
      </c>
      <c r="J27" s="17" t="str">
        <f t="shared" si="2"/>
        <v/>
      </c>
    </row>
    <row r="28" spans="2:10" x14ac:dyDescent="0.25">
      <c r="E28" s="16" t="str">
        <f>IF(13&lt;=$F$10,$F$9+13-1,"")</f>
        <v/>
      </c>
      <c r="F28" s="16" t="str">
        <f t="shared" si="0"/>
        <v/>
      </c>
      <c r="G28" s="17" t="str">
        <f>IF(E28="","",INDEX(CRONOGRAMA!$H$7:$H$366,E28))</f>
        <v/>
      </c>
      <c r="I28" s="18" t="str">
        <f t="shared" si="1"/>
        <v/>
      </c>
      <c r="J28" s="17" t="str">
        <f t="shared" si="2"/>
        <v/>
      </c>
    </row>
    <row r="29" spans="2:10" x14ac:dyDescent="0.25">
      <c r="E29" s="16" t="str">
        <f>IF(14&lt;=$F$10,$F$9+14-1,"")</f>
        <v/>
      </c>
      <c r="F29" s="16" t="str">
        <f t="shared" si="0"/>
        <v/>
      </c>
      <c r="G29" s="17" t="str">
        <f>IF(E29="","",INDEX(CRONOGRAMA!$H$7:$H$366,E29))</f>
        <v/>
      </c>
      <c r="I29" s="18" t="str">
        <f t="shared" si="1"/>
        <v/>
      </c>
      <c r="J29" s="17" t="str">
        <f t="shared" si="2"/>
        <v/>
      </c>
    </row>
    <row r="30" spans="2:10" x14ac:dyDescent="0.25">
      <c r="E30" s="16" t="str">
        <f>IF(15&lt;=$F$10,$F$9+15-1,"")</f>
        <v/>
      </c>
      <c r="F30" s="16" t="str">
        <f t="shared" si="0"/>
        <v/>
      </c>
      <c r="G30" s="17" t="str">
        <f>IF(E30="","",INDEX(CRONOGRAMA!$H$7:$H$366,E30))</f>
        <v/>
      </c>
      <c r="I30" s="18" t="str">
        <f t="shared" si="1"/>
        <v/>
      </c>
      <c r="J30" s="17" t="str">
        <f t="shared" si="2"/>
        <v/>
      </c>
    </row>
    <row r="31" spans="2:10" x14ac:dyDescent="0.25">
      <c r="E31" s="16" t="str">
        <f>IF(16&lt;=$F$10,$F$9+16-1,"")</f>
        <v/>
      </c>
      <c r="F31" s="16" t="str">
        <f t="shared" si="0"/>
        <v/>
      </c>
      <c r="G31" s="17" t="str">
        <f>IF(E31="","",INDEX(CRONOGRAMA!$H$7:$H$366,E31))</f>
        <v/>
      </c>
      <c r="I31" s="18" t="str">
        <f t="shared" si="1"/>
        <v/>
      </c>
      <c r="J31" s="17" t="str">
        <f t="shared" si="2"/>
        <v/>
      </c>
    </row>
    <row r="32" spans="2:10" x14ac:dyDescent="0.25">
      <c r="E32" s="16" t="str">
        <f>IF(17&lt;=$F$10,$F$9+17-1,"")</f>
        <v/>
      </c>
      <c r="F32" s="16" t="str">
        <f t="shared" si="0"/>
        <v/>
      </c>
      <c r="G32" s="17" t="str">
        <f>IF(E32="","",INDEX(CRONOGRAMA!$H$7:$H$366,E32))</f>
        <v/>
      </c>
      <c r="I32" s="18" t="str">
        <f t="shared" si="1"/>
        <v/>
      </c>
      <c r="J32" s="17" t="str">
        <f t="shared" si="2"/>
        <v/>
      </c>
    </row>
    <row r="33" spans="5:10" x14ac:dyDescent="0.25">
      <c r="E33" s="16" t="str">
        <f>IF(18&lt;=$F$10,$F$9+18-1,"")</f>
        <v/>
      </c>
      <c r="F33" s="16" t="str">
        <f t="shared" si="0"/>
        <v/>
      </c>
      <c r="G33" s="17" t="str">
        <f>IF(E33="","",INDEX(CRONOGRAMA!$H$7:$H$366,E33))</f>
        <v/>
      </c>
      <c r="I33" s="18" t="str">
        <f t="shared" si="1"/>
        <v/>
      </c>
      <c r="J33" s="17" t="str">
        <f t="shared" si="2"/>
        <v/>
      </c>
    </row>
    <row r="34" spans="5:10" x14ac:dyDescent="0.25">
      <c r="E34" s="16" t="str">
        <f>IF(19&lt;=$F$10,$F$9+19-1,"")</f>
        <v/>
      </c>
      <c r="F34" s="16" t="str">
        <f t="shared" si="0"/>
        <v/>
      </c>
      <c r="G34" s="17" t="str">
        <f>IF(E34="","",INDEX(CRONOGRAMA!$H$7:$H$366,E34))</f>
        <v/>
      </c>
      <c r="I34" s="18" t="str">
        <f t="shared" si="1"/>
        <v/>
      </c>
      <c r="J34" s="17" t="str">
        <f t="shared" si="2"/>
        <v/>
      </c>
    </row>
    <row r="35" spans="5:10" x14ac:dyDescent="0.25">
      <c r="E35" s="16" t="str">
        <f>IF(20&lt;=$F$10,$F$9+20-1,"")</f>
        <v/>
      </c>
      <c r="F35" s="16" t="str">
        <f t="shared" si="0"/>
        <v/>
      </c>
      <c r="G35" s="17" t="str">
        <f>IF(E35="","",INDEX(CRONOGRAMA!$H$7:$H$366,E35))</f>
        <v/>
      </c>
      <c r="I35" s="18" t="str">
        <f t="shared" si="1"/>
        <v/>
      </c>
      <c r="J35" s="17" t="str">
        <f t="shared" si="2"/>
        <v/>
      </c>
    </row>
    <row r="36" spans="5:10" x14ac:dyDescent="0.25">
      <c r="E36" s="16" t="str">
        <f>IF(21&lt;=$F$10,$F$9+21-1,"")</f>
        <v/>
      </c>
      <c r="F36" s="16" t="str">
        <f t="shared" si="0"/>
        <v/>
      </c>
      <c r="G36" s="17" t="str">
        <f>IF(E36="","",INDEX(CRONOGRAMA!$H$7:$H$366,E36))</f>
        <v/>
      </c>
      <c r="I36" s="18" t="str">
        <f t="shared" si="1"/>
        <v/>
      </c>
      <c r="J36" s="17" t="str">
        <f t="shared" si="2"/>
        <v/>
      </c>
    </row>
    <row r="37" spans="5:10" x14ac:dyDescent="0.25">
      <c r="E37" s="16" t="str">
        <f>IF(22&lt;=$F$10,$F$9+22-1,"")</f>
        <v/>
      </c>
      <c r="F37" s="16" t="str">
        <f t="shared" si="0"/>
        <v/>
      </c>
      <c r="G37" s="17" t="str">
        <f>IF(E37="","",INDEX(CRONOGRAMA!$H$7:$H$366,E37))</f>
        <v/>
      </c>
      <c r="I37" s="18" t="str">
        <f t="shared" si="1"/>
        <v/>
      </c>
      <c r="J37" s="17" t="str">
        <f t="shared" si="2"/>
        <v/>
      </c>
    </row>
    <row r="38" spans="5:10" x14ac:dyDescent="0.25">
      <c r="E38" s="16" t="str">
        <f>IF(23&lt;=$F$10,$F$9+23-1,"")</f>
        <v/>
      </c>
      <c r="F38" s="16" t="str">
        <f t="shared" si="0"/>
        <v/>
      </c>
      <c r="G38" s="17" t="str">
        <f>IF(E38="","",INDEX(CRONOGRAMA!$H$7:$H$366,E38))</f>
        <v/>
      </c>
      <c r="I38" s="18" t="str">
        <f t="shared" si="1"/>
        <v/>
      </c>
      <c r="J38" s="17" t="str">
        <f t="shared" si="2"/>
        <v/>
      </c>
    </row>
    <row r="39" spans="5:10" x14ac:dyDescent="0.25">
      <c r="E39" s="16" t="str">
        <f>IF(24&lt;=$F$10,$F$9+24-1,"")</f>
        <v/>
      </c>
      <c r="F39" s="16" t="str">
        <f t="shared" si="0"/>
        <v/>
      </c>
      <c r="G39" s="17" t="str">
        <f>IF(E39="","",INDEX(CRONOGRAMA!$H$7:$H$366,E39))</f>
        <v/>
      </c>
      <c r="I39" s="18" t="str">
        <f t="shared" si="1"/>
        <v/>
      </c>
      <c r="J39" s="17" t="str">
        <f t="shared" si="2"/>
        <v/>
      </c>
    </row>
    <row r="40" spans="5:10" x14ac:dyDescent="0.25">
      <c r="E40" s="16" t="str">
        <f>IF(25&lt;=$F$10,$F$9+25-1,"")</f>
        <v/>
      </c>
      <c r="F40" s="16" t="str">
        <f t="shared" si="0"/>
        <v/>
      </c>
      <c r="G40" s="17" t="str">
        <f>IF(E40="","",INDEX(CRONOGRAMA!$H$7:$H$366,E40))</f>
        <v/>
      </c>
      <c r="I40" s="18" t="str">
        <f t="shared" si="1"/>
        <v/>
      </c>
      <c r="J40" s="17" t="str">
        <f t="shared" si="2"/>
        <v/>
      </c>
    </row>
    <row r="41" spans="5:10" x14ac:dyDescent="0.25">
      <c r="E41" s="16" t="str">
        <f>IF(26&lt;=$F$10,$F$9+26-1,"")</f>
        <v/>
      </c>
      <c r="F41" s="16" t="str">
        <f t="shared" si="0"/>
        <v/>
      </c>
      <c r="G41" s="17" t="str">
        <f>IF(E41="","",INDEX(CRONOGRAMA!$H$7:$H$366,E41))</f>
        <v/>
      </c>
      <c r="I41" s="18" t="str">
        <f t="shared" si="1"/>
        <v/>
      </c>
      <c r="J41" s="17" t="str">
        <f t="shared" si="2"/>
        <v/>
      </c>
    </row>
    <row r="42" spans="5:10" x14ac:dyDescent="0.25">
      <c r="E42" s="16" t="str">
        <f>IF(27&lt;=$F$10,$F$9+27-1,"")</f>
        <v/>
      </c>
      <c r="F42" s="16" t="str">
        <f t="shared" si="0"/>
        <v/>
      </c>
      <c r="G42" s="17" t="str">
        <f>IF(E42="","",INDEX(CRONOGRAMA!$H$7:$H$366,E42))</f>
        <v/>
      </c>
      <c r="I42" s="18" t="str">
        <f t="shared" si="1"/>
        <v/>
      </c>
      <c r="J42" s="17" t="str">
        <f t="shared" si="2"/>
        <v/>
      </c>
    </row>
    <row r="43" spans="5:10" x14ac:dyDescent="0.25">
      <c r="E43" s="16" t="str">
        <f>IF(28&lt;=$F$10,$F$9+28-1,"")</f>
        <v/>
      </c>
      <c r="F43" s="16" t="str">
        <f t="shared" si="0"/>
        <v/>
      </c>
      <c r="G43" s="17" t="str">
        <f>IF(E43="","",INDEX(CRONOGRAMA!$H$7:$H$366,E43))</f>
        <v/>
      </c>
      <c r="I43" s="18" t="str">
        <f t="shared" si="1"/>
        <v/>
      </c>
      <c r="J43" s="17" t="str">
        <f t="shared" si="2"/>
        <v/>
      </c>
    </row>
    <row r="44" spans="5:10" x14ac:dyDescent="0.25">
      <c r="E44" s="16" t="str">
        <f>IF(29&lt;=$F$10,$F$9+29-1,"")</f>
        <v/>
      </c>
      <c r="F44" s="16" t="str">
        <f t="shared" si="0"/>
        <v/>
      </c>
      <c r="G44" s="17" t="str">
        <f>IF(E44="","",INDEX(CRONOGRAMA!$H$7:$H$366,E44))</f>
        <v/>
      </c>
      <c r="I44" s="18" t="str">
        <f t="shared" si="1"/>
        <v/>
      </c>
      <c r="J44" s="17" t="str">
        <f t="shared" si="2"/>
        <v/>
      </c>
    </row>
    <row r="45" spans="5:10" x14ac:dyDescent="0.25">
      <c r="E45" s="16" t="str">
        <f>IF(30&lt;=$F$10,$F$9+30-1,"")</f>
        <v/>
      </c>
      <c r="F45" s="16" t="str">
        <f t="shared" si="0"/>
        <v/>
      </c>
      <c r="G45" s="17" t="str">
        <f>IF(E45="","",INDEX(CRONOGRAMA!$H$7:$H$366,E45))</f>
        <v/>
      </c>
      <c r="I45" s="18" t="str">
        <f t="shared" si="1"/>
        <v/>
      </c>
      <c r="J45" s="17" t="str">
        <f t="shared" si="2"/>
        <v/>
      </c>
    </row>
    <row r="46" spans="5:10" x14ac:dyDescent="0.25">
      <c r="E46" s="16" t="str">
        <f>IF(31&lt;=$F$10,$F$9+31-1,"")</f>
        <v/>
      </c>
      <c r="F46" s="16" t="str">
        <f t="shared" si="0"/>
        <v/>
      </c>
      <c r="G46" s="17" t="str">
        <f>IF(E46="","",INDEX(CRONOGRAMA!$H$7:$H$366,E46))</f>
        <v/>
      </c>
      <c r="I46" s="18" t="str">
        <f t="shared" si="1"/>
        <v/>
      </c>
      <c r="J46" s="17" t="str">
        <f t="shared" si="2"/>
        <v/>
      </c>
    </row>
    <row r="47" spans="5:10" x14ac:dyDescent="0.25">
      <c r="E47" s="16" t="str">
        <f>IF(32&lt;=$F$10,$F$9+32-1,"")</f>
        <v/>
      </c>
      <c r="F47" s="16" t="str">
        <f t="shared" si="0"/>
        <v/>
      </c>
      <c r="G47" s="17" t="str">
        <f>IF(E47="","",INDEX(CRONOGRAMA!$H$7:$H$366,E47))</f>
        <v/>
      </c>
      <c r="I47" s="18" t="str">
        <f t="shared" si="1"/>
        <v/>
      </c>
      <c r="J47" s="17" t="str">
        <f t="shared" si="2"/>
        <v/>
      </c>
    </row>
    <row r="48" spans="5:10" x14ac:dyDescent="0.25">
      <c r="E48" s="16" t="str">
        <f>IF(33&lt;=$F$10,$F$9+33-1,"")</f>
        <v/>
      </c>
      <c r="F48" s="16" t="str">
        <f t="shared" ref="F48:F79" si="3">IF(E48="","",E48-$C$7)</f>
        <v/>
      </c>
      <c r="G48" s="17" t="str">
        <f>IF(E48="","",INDEX(CRONOGRAMA!$H$7:$H$366,E48))</f>
        <v/>
      </c>
      <c r="I48" s="18" t="str">
        <f t="shared" ref="I48:I79" si="4">IF(E48="","",(1+$F$7)^F48)</f>
        <v/>
      </c>
      <c r="J48" s="17" t="str">
        <f t="shared" ref="J48:J79" si="5">IF(E48="","",G48/I48)</f>
        <v/>
      </c>
    </row>
    <row r="49" spans="5:10" x14ac:dyDescent="0.25">
      <c r="E49" s="16" t="str">
        <f>IF(34&lt;=$F$10,$F$9+34-1,"")</f>
        <v/>
      </c>
      <c r="F49" s="16" t="str">
        <f t="shared" si="3"/>
        <v/>
      </c>
      <c r="G49" s="17" t="str">
        <f>IF(E49="","",INDEX(CRONOGRAMA!$H$7:$H$366,E49))</f>
        <v/>
      </c>
      <c r="I49" s="18" t="str">
        <f t="shared" si="4"/>
        <v/>
      </c>
      <c r="J49" s="17" t="str">
        <f t="shared" si="5"/>
        <v/>
      </c>
    </row>
    <row r="50" spans="5:10" x14ac:dyDescent="0.25">
      <c r="E50" s="16" t="str">
        <f>IF(35&lt;=$F$10,$F$9+35-1,"")</f>
        <v/>
      </c>
      <c r="F50" s="16" t="str">
        <f t="shared" si="3"/>
        <v/>
      </c>
      <c r="G50" s="17" t="str">
        <f>IF(E50="","",INDEX(CRONOGRAMA!$H$7:$H$366,E50))</f>
        <v/>
      </c>
      <c r="I50" s="18" t="str">
        <f t="shared" si="4"/>
        <v/>
      </c>
      <c r="J50" s="17" t="str">
        <f t="shared" si="5"/>
        <v/>
      </c>
    </row>
    <row r="51" spans="5:10" x14ac:dyDescent="0.25">
      <c r="E51" s="16" t="str">
        <f>IF(36&lt;=$F$10,$F$9+36-1,"")</f>
        <v/>
      </c>
      <c r="F51" s="16" t="str">
        <f t="shared" si="3"/>
        <v/>
      </c>
      <c r="G51" s="17" t="str">
        <f>IF(E51="","",INDEX(CRONOGRAMA!$H$7:$H$366,E51))</f>
        <v/>
      </c>
      <c r="I51" s="18" t="str">
        <f t="shared" si="4"/>
        <v/>
      </c>
      <c r="J51" s="17" t="str">
        <f t="shared" si="5"/>
        <v/>
      </c>
    </row>
    <row r="52" spans="5:10" x14ac:dyDescent="0.25">
      <c r="E52" s="16" t="str">
        <f>IF(37&lt;=$F$10,$F$9+37-1,"")</f>
        <v/>
      </c>
      <c r="F52" s="16" t="str">
        <f t="shared" si="3"/>
        <v/>
      </c>
      <c r="G52" s="17" t="str">
        <f>IF(E52="","",INDEX(CRONOGRAMA!$H$7:$H$366,E52))</f>
        <v/>
      </c>
      <c r="I52" s="18" t="str">
        <f t="shared" si="4"/>
        <v/>
      </c>
      <c r="J52" s="17" t="str">
        <f t="shared" si="5"/>
        <v/>
      </c>
    </row>
    <row r="53" spans="5:10" x14ac:dyDescent="0.25">
      <c r="E53" s="16" t="str">
        <f>IF(38&lt;=$F$10,$F$9+38-1,"")</f>
        <v/>
      </c>
      <c r="F53" s="16" t="str">
        <f t="shared" si="3"/>
        <v/>
      </c>
      <c r="G53" s="17" t="str">
        <f>IF(E53="","",INDEX(CRONOGRAMA!$H$7:$H$366,E53))</f>
        <v/>
      </c>
      <c r="I53" s="18" t="str">
        <f t="shared" si="4"/>
        <v/>
      </c>
      <c r="J53" s="17" t="str">
        <f t="shared" si="5"/>
        <v/>
      </c>
    </row>
    <row r="54" spans="5:10" x14ac:dyDescent="0.25">
      <c r="E54" s="16" t="str">
        <f>IF(39&lt;=$F$10,$F$9+39-1,"")</f>
        <v/>
      </c>
      <c r="F54" s="16" t="str">
        <f t="shared" si="3"/>
        <v/>
      </c>
      <c r="G54" s="17" t="str">
        <f>IF(E54="","",INDEX(CRONOGRAMA!$H$7:$H$366,E54))</f>
        <v/>
      </c>
      <c r="I54" s="18" t="str">
        <f t="shared" si="4"/>
        <v/>
      </c>
      <c r="J54" s="17" t="str">
        <f t="shared" si="5"/>
        <v/>
      </c>
    </row>
    <row r="55" spans="5:10" x14ac:dyDescent="0.25">
      <c r="E55" s="16" t="str">
        <f>IF(40&lt;=$F$10,$F$9+40-1,"")</f>
        <v/>
      </c>
      <c r="F55" s="16" t="str">
        <f t="shared" si="3"/>
        <v/>
      </c>
      <c r="G55" s="17" t="str">
        <f>IF(E55="","",INDEX(CRONOGRAMA!$H$7:$H$366,E55))</f>
        <v/>
      </c>
      <c r="I55" s="18" t="str">
        <f t="shared" si="4"/>
        <v/>
      </c>
      <c r="J55" s="17" t="str">
        <f t="shared" si="5"/>
        <v/>
      </c>
    </row>
    <row r="56" spans="5:10" x14ac:dyDescent="0.25">
      <c r="E56" s="16" t="str">
        <f>IF(41&lt;=$F$10,$F$9+41-1,"")</f>
        <v/>
      </c>
      <c r="F56" s="16" t="str">
        <f t="shared" si="3"/>
        <v/>
      </c>
      <c r="G56" s="17" t="str">
        <f>IF(E56="","",INDEX(CRONOGRAMA!$H$7:$H$366,E56))</f>
        <v/>
      </c>
      <c r="I56" s="18" t="str">
        <f t="shared" si="4"/>
        <v/>
      </c>
      <c r="J56" s="17" t="str">
        <f t="shared" si="5"/>
        <v/>
      </c>
    </row>
    <row r="57" spans="5:10" x14ac:dyDescent="0.25">
      <c r="E57" s="16" t="str">
        <f>IF(42&lt;=$F$10,$F$9+42-1,"")</f>
        <v/>
      </c>
      <c r="F57" s="16" t="str">
        <f t="shared" si="3"/>
        <v/>
      </c>
      <c r="G57" s="17" t="str">
        <f>IF(E57="","",INDEX(CRONOGRAMA!$H$7:$H$366,E57))</f>
        <v/>
      </c>
      <c r="I57" s="18" t="str">
        <f t="shared" si="4"/>
        <v/>
      </c>
      <c r="J57" s="17" t="str">
        <f t="shared" si="5"/>
        <v/>
      </c>
    </row>
    <row r="58" spans="5:10" x14ac:dyDescent="0.25">
      <c r="E58" s="16" t="str">
        <f>IF(43&lt;=$F$10,$F$9+43-1,"")</f>
        <v/>
      </c>
      <c r="F58" s="16" t="str">
        <f t="shared" si="3"/>
        <v/>
      </c>
      <c r="G58" s="17" t="str">
        <f>IF(E58="","",INDEX(CRONOGRAMA!$H$7:$H$366,E58))</f>
        <v/>
      </c>
      <c r="I58" s="18" t="str">
        <f t="shared" si="4"/>
        <v/>
      </c>
      <c r="J58" s="17" t="str">
        <f t="shared" si="5"/>
        <v/>
      </c>
    </row>
    <row r="59" spans="5:10" x14ac:dyDescent="0.25">
      <c r="E59" s="16" t="str">
        <f>IF(44&lt;=$F$10,$F$9+44-1,"")</f>
        <v/>
      </c>
      <c r="F59" s="16" t="str">
        <f t="shared" si="3"/>
        <v/>
      </c>
      <c r="G59" s="17" t="str">
        <f>IF(E59="","",INDEX(CRONOGRAMA!$H$7:$H$366,E59))</f>
        <v/>
      </c>
      <c r="I59" s="18" t="str">
        <f t="shared" si="4"/>
        <v/>
      </c>
      <c r="J59" s="17" t="str">
        <f t="shared" si="5"/>
        <v/>
      </c>
    </row>
    <row r="60" spans="5:10" x14ac:dyDescent="0.25">
      <c r="E60" s="16" t="str">
        <f>IF(45&lt;=$F$10,$F$9+45-1,"")</f>
        <v/>
      </c>
      <c r="F60" s="16" t="str">
        <f t="shared" si="3"/>
        <v/>
      </c>
      <c r="G60" s="17" t="str">
        <f>IF(E60="","",INDEX(CRONOGRAMA!$H$7:$H$366,E60))</f>
        <v/>
      </c>
      <c r="I60" s="18" t="str">
        <f t="shared" si="4"/>
        <v/>
      </c>
      <c r="J60" s="17" t="str">
        <f t="shared" si="5"/>
        <v/>
      </c>
    </row>
    <row r="61" spans="5:10" x14ac:dyDescent="0.25">
      <c r="E61" s="16" t="str">
        <f>IF(46&lt;=$F$10,$F$9+46-1,"")</f>
        <v/>
      </c>
      <c r="F61" s="16" t="str">
        <f t="shared" si="3"/>
        <v/>
      </c>
      <c r="G61" s="17" t="str">
        <f>IF(E61="","",INDEX(CRONOGRAMA!$H$7:$H$366,E61))</f>
        <v/>
      </c>
      <c r="I61" s="18" t="str">
        <f t="shared" si="4"/>
        <v/>
      </c>
      <c r="J61" s="17" t="str">
        <f t="shared" si="5"/>
        <v/>
      </c>
    </row>
    <row r="62" spans="5:10" x14ac:dyDescent="0.25">
      <c r="E62" s="16" t="str">
        <f>IF(47&lt;=$F$10,$F$9+47-1,"")</f>
        <v/>
      </c>
      <c r="F62" s="16" t="str">
        <f t="shared" si="3"/>
        <v/>
      </c>
      <c r="G62" s="17" t="str">
        <f>IF(E62="","",INDEX(CRONOGRAMA!$H$7:$H$366,E62))</f>
        <v/>
      </c>
      <c r="I62" s="18" t="str">
        <f t="shared" si="4"/>
        <v/>
      </c>
      <c r="J62" s="17" t="str">
        <f t="shared" si="5"/>
        <v/>
      </c>
    </row>
    <row r="63" spans="5:10" x14ac:dyDescent="0.25">
      <c r="E63" s="16" t="str">
        <f>IF(48&lt;=$F$10,$F$9+48-1,"")</f>
        <v/>
      </c>
      <c r="F63" s="16" t="str">
        <f t="shared" si="3"/>
        <v/>
      </c>
      <c r="G63" s="17" t="str">
        <f>IF(E63="","",INDEX(CRONOGRAMA!$H$7:$H$366,E63))</f>
        <v/>
      </c>
      <c r="I63" s="18" t="str">
        <f t="shared" si="4"/>
        <v/>
      </c>
      <c r="J63" s="17" t="str">
        <f t="shared" si="5"/>
        <v/>
      </c>
    </row>
    <row r="64" spans="5:10" x14ac:dyDescent="0.25">
      <c r="E64" s="16" t="str">
        <f>IF(49&lt;=$F$10,$F$9+49-1,"")</f>
        <v/>
      </c>
      <c r="F64" s="16" t="str">
        <f t="shared" si="3"/>
        <v/>
      </c>
      <c r="G64" s="17" t="str">
        <f>IF(E64="","",INDEX(CRONOGRAMA!$H$7:$H$366,E64))</f>
        <v/>
      </c>
      <c r="I64" s="18" t="str">
        <f t="shared" si="4"/>
        <v/>
      </c>
      <c r="J64" s="17" t="str">
        <f t="shared" si="5"/>
        <v/>
      </c>
    </row>
    <row r="65" spans="5:10" x14ac:dyDescent="0.25">
      <c r="E65" s="16" t="str">
        <f>IF(50&lt;=$F$10,$F$9+50-1,"")</f>
        <v/>
      </c>
      <c r="F65" s="16" t="str">
        <f t="shared" si="3"/>
        <v/>
      </c>
      <c r="G65" s="17" t="str">
        <f>IF(E65="","",INDEX(CRONOGRAMA!$H$7:$H$366,E65))</f>
        <v/>
      </c>
      <c r="I65" s="18" t="str">
        <f t="shared" si="4"/>
        <v/>
      </c>
      <c r="J65" s="17" t="str">
        <f t="shared" si="5"/>
        <v/>
      </c>
    </row>
    <row r="66" spans="5:10" x14ac:dyDescent="0.25">
      <c r="E66" s="16" t="str">
        <f>IF(51&lt;=$F$10,$F$9+51-1,"")</f>
        <v/>
      </c>
      <c r="F66" s="16" t="str">
        <f t="shared" si="3"/>
        <v/>
      </c>
      <c r="G66" s="17" t="str">
        <f>IF(E66="","",INDEX(CRONOGRAMA!$H$7:$H$366,E66))</f>
        <v/>
      </c>
      <c r="I66" s="18" t="str">
        <f t="shared" si="4"/>
        <v/>
      </c>
      <c r="J66" s="17" t="str">
        <f t="shared" si="5"/>
        <v/>
      </c>
    </row>
    <row r="67" spans="5:10" x14ac:dyDescent="0.25">
      <c r="E67" s="16" t="str">
        <f>IF(52&lt;=$F$10,$F$9+52-1,"")</f>
        <v/>
      </c>
      <c r="F67" s="16" t="str">
        <f t="shared" si="3"/>
        <v/>
      </c>
      <c r="G67" s="17" t="str">
        <f>IF(E67="","",INDEX(CRONOGRAMA!$H$7:$H$366,E67))</f>
        <v/>
      </c>
      <c r="I67" s="18" t="str">
        <f t="shared" si="4"/>
        <v/>
      </c>
      <c r="J67" s="17" t="str">
        <f t="shared" si="5"/>
        <v/>
      </c>
    </row>
    <row r="68" spans="5:10" x14ac:dyDescent="0.25">
      <c r="E68" s="16" t="str">
        <f>IF(53&lt;=$F$10,$F$9+53-1,"")</f>
        <v/>
      </c>
      <c r="F68" s="16" t="str">
        <f t="shared" si="3"/>
        <v/>
      </c>
      <c r="G68" s="17" t="str">
        <f>IF(E68="","",INDEX(CRONOGRAMA!$H$7:$H$366,E68))</f>
        <v/>
      </c>
      <c r="I68" s="18" t="str">
        <f t="shared" si="4"/>
        <v/>
      </c>
      <c r="J68" s="17" t="str">
        <f t="shared" si="5"/>
        <v/>
      </c>
    </row>
    <row r="69" spans="5:10" x14ac:dyDescent="0.25">
      <c r="E69" s="16" t="str">
        <f>IF(54&lt;=$F$10,$F$9+54-1,"")</f>
        <v/>
      </c>
      <c r="F69" s="16" t="str">
        <f t="shared" si="3"/>
        <v/>
      </c>
      <c r="G69" s="17" t="str">
        <f>IF(E69="","",INDEX(CRONOGRAMA!$H$7:$H$366,E69))</f>
        <v/>
      </c>
      <c r="I69" s="18" t="str">
        <f t="shared" si="4"/>
        <v/>
      </c>
      <c r="J69" s="17" t="str">
        <f t="shared" si="5"/>
        <v/>
      </c>
    </row>
    <row r="70" spans="5:10" x14ac:dyDescent="0.25">
      <c r="E70" s="16" t="str">
        <f>IF(55&lt;=$F$10,$F$9+55-1,"")</f>
        <v/>
      </c>
      <c r="F70" s="16" t="str">
        <f t="shared" si="3"/>
        <v/>
      </c>
      <c r="G70" s="17" t="str">
        <f>IF(E70="","",INDEX(CRONOGRAMA!$H$7:$H$366,E70))</f>
        <v/>
      </c>
      <c r="I70" s="18" t="str">
        <f t="shared" si="4"/>
        <v/>
      </c>
      <c r="J70" s="17" t="str">
        <f t="shared" si="5"/>
        <v/>
      </c>
    </row>
    <row r="71" spans="5:10" x14ac:dyDescent="0.25">
      <c r="E71" s="16" t="str">
        <f>IF(56&lt;=$F$10,$F$9+56-1,"")</f>
        <v/>
      </c>
      <c r="F71" s="16" t="str">
        <f t="shared" si="3"/>
        <v/>
      </c>
      <c r="G71" s="17" t="str">
        <f>IF(E71="","",INDEX(CRONOGRAMA!$H$7:$H$366,E71))</f>
        <v/>
      </c>
      <c r="I71" s="18" t="str">
        <f t="shared" si="4"/>
        <v/>
      </c>
      <c r="J71" s="17" t="str">
        <f t="shared" si="5"/>
        <v/>
      </c>
    </row>
    <row r="72" spans="5:10" x14ac:dyDescent="0.25">
      <c r="E72" s="16" t="str">
        <f>IF(57&lt;=$F$10,$F$9+57-1,"")</f>
        <v/>
      </c>
      <c r="F72" s="16" t="str">
        <f t="shared" si="3"/>
        <v/>
      </c>
      <c r="G72" s="17" t="str">
        <f>IF(E72="","",INDEX(CRONOGRAMA!$H$7:$H$366,E72))</f>
        <v/>
      </c>
      <c r="I72" s="18" t="str">
        <f t="shared" si="4"/>
        <v/>
      </c>
      <c r="J72" s="17" t="str">
        <f t="shared" si="5"/>
        <v/>
      </c>
    </row>
    <row r="73" spans="5:10" x14ac:dyDescent="0.25">
      <c r="E73" s="16" t="str">
        <f>IF(58&lt;=$F$10,$F$9+58-1,"")</f>
        <v/>
      </c>
      <c r="F73" s="16" t="str">
        <f t="shared" si="3"/>
        <v/>
      </c>
      <c r="G73" s="17" t="str">
        <f>IF(E73="","",INDEX(CRONOGRAMA!$H$7:$H$366,E73))</f>
        <v/>
      </c>
      <c r="I73" s="18" t="str">
        <f t="shared" si="4"/>
        <v/>
      </c>
      <c r="J73" s="17" t="str">
        <f t="shared" si="5"/>
        <v/>
      </c>
    </row>
    <row r="74" spans="5:10" x14ac:dyDescent="0.25">
      <c r="E74" s="16" t="str">
        <f>IF(59&lt;=$F$10,$F$9+59-1,"")</f>
        <v/>
      </c>
      <c r="F74" s="16" t="str">
        <f t="shared" si="3"/>
        <v/>
      </c>
      <c r="G74" s="17" t="str">
        <f>IF(E74="","",INDEX(CRONOGRAMA!$H$7:$H$366,E74))</f>
        <v/>
      </c>
      <c r="I74" s="18" t="str">
        <f t="shared" si="4"/>
        <v/>
      </c>
      <c r="J74" s="17" t="str">
        <f t="shared" si="5"/>
        <v/>
      </c>
    </row>
    <row r="75" spans="5:10" x14ac:dyDescent="0.25">
      <c r="E75" s="16" t="str">
        <f>IF(60&lt;=$F$10,$F$9+60-1,"")</f>
        <v/>
      </c>
      <c r="F75" s="16" t="str">
        <f t="shared" si="3"/>
        <v/>
      </c>
      <c r="G75" s="17" t="str">
        <f>IF(E75="","",INDEX(CRONOGRAMA!$H$7:$H$366,E75))</f>
        <v/>
      </c>
      <c r="I75" s="18" t="str">
        <f t="shared" si="4"/>
        <v/>
      </c>
      <c r="J75" s="17" t="str">
        <f t="shared" si="5"/>
        <v/>
      </c>
    </row>
    <row r="76" spans="5:10" x14ac:dyDescent="0.25">
      <c r="E76" s="16" t="str">
        <f>IF(61&lt;=$F$10,$F$9+61-1,"")</f>
        <v/>
      </c>
      <c r="F76" s="16" t="str">
        <f t="shared" si="3"/>
        <v/>
      </c>
      <c r="G76" s="17" t="str">
        <f>IF(E76="","",INDEX(CRONOGRAMA!$H$7:$H$366,E76))</f>
        <v/>
      </c>
      <c r="I76" s="18" t="str">
        <f t="shared" si="4"/>
        <v/>
      </c>
      <c r="J76" s="17" t="str">
        <f t="shared" si="5"/>
        <v/>
      </c>
    </row>
    <row r="77" spans="5:10" x14ac:dyDescent="0.25">
      <c r="E77" s="16" t="str">
        <f>IF(62&lt;=$F$10,$F$9+62-1,"")</f>
        <v/>
      </c>
      <c r="F77" s="16" t="str">
        <f t="shared" si="3"/>
        <v/>
      </c>
      <c r="G77" s="17" t="str">
        <f>IF(E77="","",INDEX(CRONOGRAMA!$H$7:$H$366,E77))</f>
        <v/>
      </c>
      <c r="I77" s="18" t="str">
        <f t="shared" si="4"/>
        <v/>
      </c>
      <c r="J77" s="17" t="str">
        <f t="shared" si="5"/>
        <v/>
      </c>
    </row>
    <row r="78" spans="5:10" x14ac:dyDescent="0.25">
      <c r="E78" s="16" t="str">
        <f>IF(63&lt;=$F$10,$F$9+63-1,"")</f>
        <v/>
      </c>
      <c r="F78" s="16" t="str">
        <f t="shared" si="3"/>
        <v/>
      </c>
      <c r="G78" s="17" t="str">
        <f>IF(E78="","",INDEX(CRONOGRAMA!$H$7:$H$366,E78))</f>
        <v/>
      </c>
      <c r="I78" s="18" t="str">
        <f t="shared" si="4"/>
        <v/>
      </c>
      <c r="J78" s="17" t="str">
        <f t="shared" si="5"/>
        <v/>
      </c>
    </row>
    <row r="79" spans="5:10" x14ac:dyDescent="0.25">
      <c r="E79" s="16" t="str">
        <f>IF(64&lt;=$F$10,$F$9+64-1,"")</f>
        <v/>
      </c>
      <c r="F79" s="16" t="str">
        <f t="shared" si="3"/>
        <v/>
      </c>
      <c r="G79" s="17" t="str">
        <f>IF(E79="","",INDEX(CRONOGRAMA!$H$7:$H$366,E79))</f>
        <v/>
      </c>
      <c r="I79" s="18" t="str">
        <f t="shared" si="4"/>
        <v/>
      </c>
      <c r="J79" s="17" t="str">
        <f t="shared" si="5"/>
        <v/>
      </c>
    </row>
    <row r="80" spans="5:10" x14ac:dyDescent="0.25">
      <c r="E80" s="16" t="str">
        <f>IF(65&lt;=$F$10,$F$9+65-1,"")</f>
        <v/>
      </c>
      <c r="F80" s="16" t="str">
        <f t="shared" ref="F80:F111" si="6">IF(E80="","",E80-$C$7)</f>
        <v/>
      </c>
      <c r="G80" s="17" t="str">
        <f>IF(E80="","",INDEX(CRONOGRAMA!$H$7:$H$366,E80))</f>
        <v/>
      </c>
      <c r="I80" s="18" t="str">
        <f t="shared" ref="I80:I111" si="7">IF(E80="","",(1+$F$7)^F80)</f>
        <v/>
      </c>
      <c r="J80" s="17" t="str">
        <f t="shared" ref="J80:J111" si="8">IF(E80="","",G80/I80)</f>
        <v/>
      </c>
    </row>
    <row r="81" spans="5:10" x14ac:dyDescent="0.25">
      <c r="E81" s="16" t="str">
        <f>IF(66&lt;=$F$10,$F$9+66-1,"")</f>
        <v/>
      </c>
      <c r="F81" s="16" t="str">
        <f t="shared" si="6"/>
        <v/>
      </c>
      <c r="G81" s="17" t="str">
        <f>IF(E81="","",INDEX(CRONOGRAMA!$H$7:$H$366,E81))</f>
        <v/>
      </c>
      <c r="I81" s="18" t="str">
        <f t="shared" si="7"/>
        <v/>
      </c>
      <c r="J81" s="17" t="str">
        <f t="shared" si="8"/>
        <v/>
      </c>
    </row>
    <row r="82" spans="5:10" x14ac:dyDescent="0.25">
      <c r="E82" s="16" t="str">
        <f>IF(67&lt;=$F$10,$F$9+67-1,"")</f>
        <v/>
      </c>
      <c r="F82" s="16" t="str">
        <f t="shared" si="6"/>
        <v/>
      </c>
      <c r="G82" s="17" t="str">
        <f>IF(E82="","",INDEX(CRONOGRAMA!$H$7:$H$366,E82))</f>
        <v/>
      </c>
      <c r="I82" s="18" t="str">
        <f t="shared" si="7"/>
        <v/>
      </c>
      <c r="J82" s="17" t="str">
        <f t="shared" si="8"/>
        <v/>
      </c>
    </row>
    <row r="83" spans="5:10" x14ac:dyDescent="0.25">
      <c r="E83" s="16" t="str">
        <f>IF(68&lt;=$F$10,$F$9+68-1,"")</f>
        <v/>
      </c>
      <c r="F83" s="16" t="str">
        <f t="shared" si="6"/>
        <v/>
      </c>
      <c r="G83" s="17" t="str">
        <f>IF(E83="","",INDEX(CRONOGRAMA!$H$7:$H$366,E83))</f>
        <v/>
      </c>
      <c r="I83" s="18" t="str">
        <f t="shared" si="7"/>
        <v/>
      </c>
      <c r="J83" s="17" t="str">
        <f t="shared" si="8"/>
        <v/>
      </c>
    </row>
    <row r="84" spans="5:10" x14ac:dyDescent="0.25">
      <c r="E84" s="16" t="str">
        <f>IF(69&lt;=$F$10,$F$9+69-1,"")</f>
        <v/>
      </c>
      <c r="F84" s="16" t="str">
        <f t="shared" si="6"/>
        <v/>
      </c>
      <c r="G84" s="17" t="str">
        <f>IF(E84="","",INDEX(CRONOGRAMA!$H$7:$H$366,E84))</f>
        <v/>
      </c>
      <c r="I84" s="18" t="str">
        <f t="shared" si="7"/>
        <v/>
      </c>
      <c r="J84" s="17" t="str">
        <f t="shared" si="8"/>
        <v/>
      </c>
    </row>
    <row r="85" spans="5:10" x14ac:dyDescent="0.25">
      <c r="E85" s="16" t="str">
        <f>IF(70&lt;=$F$10,$F$9+70-1,"")</f>
        <v/>
      </c>
      <c r="F85" s="16" t="str">
        <f t="shared" si="6"/>
        <v/>
      </c>
      <c r="G85" s="17" t="str">
        <f>IF(E85="","",INDEX(CRONOGRAMA!$H$7:$H$366,E85))</f>
        <v/>
      </c>
      <c r="I85" s="18" t="str">
        <f t="shared" si="7"/>
        <v/>
      </c>
      <c r="J85" s="17" t="str">
        <f t="shared" si="8"/>
        <v/>
      </c>
    </row>
    <row r="86" spans="5:10" x14ac:dyDescent="0.25">
      <c r="E86" s="16" t="str">
        <f>IF(71&lt;=$F$10,$F$9+71-1,"")</f>
        <v/>
      </c>
      <c r="F86" s="16" t="str">
        <f t="shared" si="6"/>
        <v/>
      </c>
      <c r="G86" s="17" t="str">
        <f>IF(E86="","",INDEX(CRONOGRAMA!$H$7:$H$366,E86))</f>
        <v/>
      </c>
      <c r="I86" s="18" t="str">
        <f t="shared" si="7"/>
        <v/>
      </c>
      <c r="J86" s="17" t="str">
        <f t="shared" si="8"/>
        <v/>
      </c>
    </row>
    <row r="87" spans="5:10" x14ac:dyDescent="0.25">
      <c r="E87" s="16" t="str">
        <f>IF(72&lt;=$F$10,$F$9+72-1,"")</f>
        <v/>
      </c>
      <c r="F87" s="16" t="str">
        <f t="shared" si="6"/>
        <v/>
      </c>
      <c r="G87" s="17" t="str">
        <f>IF(E87="","",INDEX(CRONOGRAMA!$H$7:$H$366,E87))</f>
        <v/>
      </c>
      <c r="I87" s="18" t="str">
        <f t="shared" si="7"/>
        <v/>
      </c>
      <c r="J87" s="17" t="str">
        <f t="shared" si="8"/>
        <v/>
      </c>
    </row>
    <row r="88" spans="5:10" x14ac:dyDescent="0.25">
      <c r="E88" s="16" t="str">
        <f>IF(73&lt;=$F$10,$F$9+73-1,"")</f>
        <v/>
      </c>
      <c r="F88" s="16" t="str">
        <f t="shared" si="6"/>
        <v/>
      </c>
      <c r="G88" s="17" t="str">
        <f>IF(E88="","",INDEX(CRONOGRAMA!$H$7:$H$366,E88))</f>
        <v/>
      </c>
      <c r="I88" s="18" t="str">
        <f t="shared" si="7"/>
        <v/>
      </c>
      <c r="J88" s="17" t="str">
        <f t="shared" si="8"/>
        <v/>
      </c>
    </row>
    <row r="89" spans="5:10" x14ac:dyDescent="0.25">
      <c r="E89" s="16" t="str">
        <f>IF(74&lt;=$F$10,$F$9+74-1,"")</f>
        <v/>
      </c>
      <c r="F89" s="16" t="str">
        <f t="shared" si="6"/>
        <v/>
      </c>
      <c r="G89" s="17" t="str">
        <f>IF(E89="","",INDEX(CRONOGRAMA!$H$7:$H$366,E89))</f>
        <v/>
      </c>
      <c r="I89" s="18" t="str">
        <f t="shared" si="7"/>
        <v/>
      </c>
      <c r="J89" s="17" t="str">
        <f t="shared" si="8"/>
        <v/>
      </c>
    </row>
    <row r="90" spans="5:10" x14ac:dyDescent="0.25">
      <c r="E90" s="16" t="str">
        <f>IF(75&lt;=$F$10,$F$9+75-1,"")</f>
        <v/>
      </c>
      <c r="F90" s="16" t="str">
        <f t="shared" si="6"/>
        <v/>
      </c>
      <c r="G90" s="17" t="str">
        <f>IF(E90="","",INDEX(CRONOGRAMA!$H$7:$H$366,E90))</f>
        <v/>
      </c>
      <c r="I90" s="18" t="str">
        <f t="shared" si="7"/>
        <v/>
      </c>
      <c r="J90" s="17" t="str">
        <f t="shared" si="8"/>
        <v/>
      </c>
    </row>
    <row r="91" spans="5:10" x14ac:dyDescent="0.25">
      <c r="E91" s="16" t="str">
        <f>IF(76&lt;=$F$10,$F$9+76-1,"")</f>
        <v/>
      </c>
      <c r="F91" s="16" t="str">
        <f t="shared" si="6"/>
        <v/>
      </c>
      <c r="G91" s="17" t="str">
        <f>IF(E91="","",INDEX(CRONOGRAMA!$H$7:$H$366,E91))</f>
        <v/>
      </c>
      <c r="I91" s="18" t="str">
        <f t="shared" si="7"/>
        <v/>
      </c>
      <c r="J91" s="17" t="str">
        <f t="shared" si="8"/>
        <v/>
      </c>
    </row>
    <row r="92" spans="5:10" x14ac:dyDescent="0.25">
      <c r="E92" s="16" t="str">
        <f>IF(77&lt;=$F$10,$F$9+77-1,"")</f>
        <v/>
      </c>
      <c r="F92" s="16" t="str">
        <f t="shared" si="6"/>
        <v/>
      </c>
      <c r="G92" s="17" t="str">
        <f>IF(E92="","",INDEX(CRONOGRAMA!$H$7:$H$366,E92))</f>
        <v/>
      </c>
      <c r="I92" s="18" t="str">
        <f t="shared" si="7"/>
        <v/>
      </c>
      <c r="J92" s="17" t="str">
        <f t="shared" si="8"/>
        <v/>
      </c>
    </row>
    <row r="93" spans="5:10" x14ac:dyDescent="0.25">
      <c r="E93" s="16" t="str">
        <f>IF(78&lt;=$F$10,$F$9+78-1,"")</f>
        <v/>
      </c>
      <c r="F93" s="16" t="str">
        <f t="shared" si="6"/>
        <v/>
      </c>
      <c r="G93" s="17" t="str">
        <f>IF(E93="","",INDEX(CRONOGRAMA!$H$7:$H$366,E93))</f>
        <v/>
      </c>
      <c r="I93" s="18" t="str">
        <f t="shared" si="7"/>
        <v/>
      </c>
      <c r="J93" s="17" t="str">
        <f t="shared" si="8"/>
        <v/>
      </c>
    </row>
    <row r="94" spans="5:10" x14ac:dyDescent="0.25">
      <c r="E94" s="16" t="str">
        <f>IF(79&lt;=$F$10,$F$9+79-1,"")</f>
        <v/>
      </c>
      <c r="F94" s="16" t="str">
        <f t="shared" si="6"/>
        <v/>
      </c>
      <c r="G94" s="17" t="str">
        <f>IF(E94="","",INDEX(CRONOGRAMA!$H$7:$H$366,E94))</f>
        <v/>
      </c>
      <c r="I94" s="18" t="str">
        <f t="shared" si="7"/>
        <v/>
      </c>
      <c r="J94" s="17" t="str">
        <f t="shared" si="8"/>
        <v/>
      </c>
    </row>
    <row r="95" spans="5:10" x14ac:dyDescent="0.25">
      <c r="E95" s="16" t="str">
        <f>IF(80&lt;=$F$10,$F$9+80-1,"")</f>
        <v/>
      </c>
      <c r="F95" s="16" t="str">
        <f t="shared" si="6"/>
        <v/>
      </c>
      <c r="G95" s="17" t="str">
        <f>IF(E95="","",INDEX(CRONOGRAMA!$H$7:$H$366,E95))</f>
        <v/>
      </c>
      <c r="I95" s="18" t="str">
        <f t="shared" si="7"/>
        <v/>
      </c>
      <c r="J95" s="17" t="str">
        <f t="shared" si="8"/>
        <v/>
      </c>
    </row>
    <row r="96" spans="5:10" x14ac:dyDescent="0.25">
      <c r="E96" s="16" t="str">
        <f>IF(81&lt;=$F$10,$F$9+81-1,"")</f>
        <v/>
      </c>
      <c r="F96" s="16" t="str">
        <f t="shared" si="6"/>
        <v/>
      </c>
      <c r="G96" s="17" t="str">
        <f>IF(E96="","",INDEX(CRONOGRAMA!$H$7:$H$366,E96))</f>
        <v/>
      </c>
      <c r="I96" s="18" t="str">
        <f t="shared" si="7"/>
        <v/>
      </c>
      <c r="J96" s="17" t="str">
        <f t="shared" si="8"/>
        <v/>
      </c>
    </row>
    <row r="97" spans="5:10" x14ac:dyDescent="0.25">
      <c r="E97" s="16" t="str">
        <f>IF(82&lt;=$F$10,$F$9+82-1,"")</f>
        <v/>
      </c>
      <c r="F97" s="16" t="str">
        <f t="shared" si="6"/>
        <v/>
      </c>
      <c r="G97" s="17" t="str">
        <f>IF(E97="","",INDEX(CRONOGRAMA!$H$7:$H$366,E97))</f>
        <v/>
      </c>
      <c r="I97" s="18" t="str">
        <f t="shared" si="7"/>
        <v/>
      </c>
      <c r="J97" s="17" t="str">
        <f t="shared" si="8"/>
        <v/>
      </c>
    </row>
    <row r="98" spans="5:10" x14ac:dyDescent="0.25">
      <c r="E98" s="16" t="str">
        <f>IF(83&lt;=$F$10,$F$9+83-1,"")</f>
        <v/>
      </c>
      <c r="F98" s="16" t="str">
        <f t="shared" si="6"/>
        <v/>
      </c>
      <c r="G98" s="17" t="str">
        <f>IF(E98="","",INDEX(CRONOGRAMA!$H$7:$H$366,E98))</f>
        <v/>
      </c>
      <c r="I98" s="18" t="str">
        <f t="shared" si="7"/>
        <v/>
      </c>
      <c r="J98" s="17" t="str">
        <f t="shared" si="8"/>
        <v/>
      </c>
    </row>
    <row r="99" spans="5:10" x14ac:dyDescent="0.25">
      <c r="E99" s="16" t="str">
        <f>IF(84&lt;=$F$10,$F$9+84-1,"")</f>
        <v/>
      </c>
      <c r="F99" s="16" t="str">
        <f t="shared" si="6"/>
        <v/>
      </c>
      <c r="G99" s="17" t="str">
        <f>IF(E99="","",INDEX(CRONOGRAMA!$H$7:$H$366,E99))</f>
        <v/>
      </c>
      <c r="I99" s="18" t="str">
        <f t="shared" si="7"/>
        <v/>
      </c>
      <c r="J99" s="17" t="str">
        <f t="shared" si="8"/>
        <v/>
      </c>
    </row>
    <row r="100" spans="5:10" x14ac:dyDescent="0.25">
      <c r="E100" s="16" t="str">
        <f>IF(85&lt;=$F$10,$F$9+85-1,"")</f>
        <v/>
      </c>
      <c r="F100" s="16" t="str">
        <f t="shared" si="6"/>
        <v/>
      </c>
      <c r="G100" s="17" t="str">
        <f>IF(E100="","",INDEX(CRONOGRAMA!$H$7:$H$366,E100))</f>
        <v/>
      </c>
      <c r="I100" s="18" t="str">
        <f t="shared" si="7"/>
        <v/>
      </c>
      <c r="J100" s="17" t="str">
        <f t="shared" si="8"/>
        <v/>
      </c>
    </row>
    <row r="101" spans="5:10" x14ac:dyDescent="0.25">
      <c r="E101" s="16" t="str">
        <f>IF(86&lt;=$F$10,$F$9+86-1,"")</f>
        <v/>
      </c>
      <c r="F101" s="16" t="str">
        <f t="shared" si="6"/>
        <v/>
      </c>
      <c r="G101" s="17" t="str">
        <f>IF(E101="","",INDEX(CRONOGRAMA!$H$7:$H$366,E101))</f>
        <v/>
      </c>
      <c r="I101" s="18" t="str">
        <f t="shared" si="7"/>
        <v/>
      </c>
      <c r="J101" s="17" t="str">
        <f t="shared" si="8"/>
        <v/>
      </c>
    </row>
    <row r="102" spans="5:10" x14ac:dyDescent="0.25">
      <c r="E102" s="16" t="str">
        <f>IF(87&lt;=$F$10,$F$9+87-1,"")</f>
        <v/>
      </c>
      <c r="F102" s="16" t="str">
        <f t="shared" si="6"/>
        <v/>
      </c>
      <c r="G102" s="17" t="str">
        <f>IF(E102="","",INDEX(CRONOGRAMA!$H$7:$H$366,E102))</f>
        <v/>
      </c>
      <c r="I102" s="18" t="str">
        <f t="shared" si="7"/>
        <v/>
      </c>
      <c r="J102" s="17" t="str">
        <f t="shared" si="8"/>
        <v/>
      </c>
    </row>
    <row r="103" spans="5:10" x14ac:dyDescent="0.25">
      <c r="E103" s="16" t="str">
        <f>IF(88&lt;=$F$10,$F$9+88-1,"")</f>
        <v/>
      </c>
      <c r="F103" s="16" t="str">
        <f t="shared" si="6"/>
        <v/>
      </c>
      <c r="G103" s="17" t="str">
        <f>IF(E103="","",INDEX(CRONOGRAMA!$H$7:$H$366,E103))</f>
        <v/>
      </c>
      <c r="I103" s="18" t="str">
        <f t="shared" si="7"/>
        <v/>
      </c>
      <c r="J103" s="17" t="str">
        <f t="shared" si="8"/>
        <v/>
      </c>
    </row>
    <row r="104" spans="5:10" x14ac:dyDescent="0.25">
      <c r="E104" s="16" t="str">
        <f>IF(89&lt;=$F$10,$F$9+89-1,"")</f>
        <v/>
      </c>
      <c r="F104" s="16" t="str">
        <f t="shared" si="6"/>
        <v/>
      </c>
      <c r="G104" s="17" t="str">
        <f>IF(E104="","",INDEX(CRONOGRAMA!$H$7:$H$366,E104))</f>
        <v/>
      </c>
      <c r="I104" s="18" t="str">
        <f t="shared" si="7"/>
        <v/>
      </c>
      <c r="J104" s="17" t="str">
        <f t="shared" si="8"/>
        <v/>
      </c>
    </row>
    <row r="105" spans="5:10" x14ac:dyDescent="0.25">
      <c r="E105" s="16" t="str">
        <f>IF(90&lt;=$F$10,$F$9+90-1,"")</f>
        <v/>
      </c>
      <c r="F105" s="16" t="str">
        <f t="shared" si="6"/>
        <v/>
      </c>
      <c r="G105" s="17" t="str">
        <f>IF(E105="","",INDEX(CRONOGRAMA!$H$7:$H$366,E105))</f>
        <v/>
      </c>
      <c r="I105" s="18" t="str">
        <f t="shared" si="7"/>
        <v/>
      </c>
      <c r="J105" s="17" t="str">
        <f t="shared" si="8"/>
        <v/>
      </c>
    </row>
    <row r="106" spans="5:10" x14ac:dyDescent="0.25">
      <c r="E106" s="16" t="str">
        <f>IF(91&lt;=$F$10,$F$9+91-1,"")</f>
        <v/>
      </c>
      <c r="F106" s="16" t="str">
        <f t="shared" si="6"/>
        <v/>
      </c>
      <c r="G106" s="17" t="str">
        <f>IF(E106="","",INDEX(CRONOGRAMA!$H$7:$H$366,E106))</f>
        <v/>
      </c>
      <c r="I106" s="18" t="str">
        <f t="shared" si="7"/>
        <v/>
      </c>
      <c r="J106" s="17" t="str">
        <f t="shared" si="8"/>
        <v/>
      </c>
    </row>
    <row r="107" spans="5:10" x14ac:dyDescent="0.25">
      <c r="E107" s="16" t="str">
        <f>IF(92&lt;=$F$10,$F$9+92-1,"")</f>
        <v/>
      </c>
      <c r="F107" s="16" t="str">
        <f t="shared" si="6"/>
        <v/>
      </c>
      <c r="G107" s="17" t="str">
        <f>IF(E107="","",INDEX(CRONOGRAMA!$H$7:$H$366,E107))</f>
        <v/>
      </c>
      <c r="I107" s="18" t="str">
        <f t="shared" si="7"/>
        <v/>
      </c>
      <c r="J107" s="17" t="str">
        <f t="shared" si="8"/>
        <v/>
      </c>
    </row>
    <row r="108" spans="5:10" x14ac:dyDescent="0.25">
      <c r="E108" s="16" t="str">
        <f>IF(93&lt;=$F$10,$F$9+93-1,"")</f>
        <v/>
      </c>
      <c r="F108" s="16" t="str">
        <f t="shared" si="6"/>
        <v/>
      </c>
      <c r="G108" s="17" t="str">
        <f>IF(E108="","",INDEX(CRONOGRAMA!$H$7:$H$366,E108))</f>
        <v/>
      </c>
      <c r="I108" s="18" t="str">
        <f t="shared" si="7"/>
        <v/>
      </c>
      <c r="J108" s="17" t="str">
        <f t="shared" si="8"/>
        <v/>
      </c>
    </row>
    <row r="109" spans="5:10" x14ac:dyDescent="0.25">
      <c r="E109" s="16" t="str">
        <f>IF(94&lt;=$F$10,$F$9+94-1,"")</f>
        <v/>
      </c>
      <c r="F109" s="16" t="str">
        <f t="shared" si="6"/>
        <v/>
      </c>
      <c r="G109" s="17" t="str">
        <f>IF(E109="","",INDEX(CRONOGRAMA!$H$7:$H$366,E109))</f>
        <v/>
      </c>
      <c r="I109" s="18" t="str">
        <f t="shared" si="7"/>
        <v/>
      </c>
      <c r="J109" s="17" t="str">
        <f t="shared" si="8"/>
        <v/>
      </c>
    </row>
    <row r="110" spans="5:10" x14ac:dyDescent="0.25">
      <c r="E110" s="16" t="str">
        <f>IF(95&lt;=$F$10,$F$9+95-1,"")</f>
        <v/>
      </c>
      <c r="F110" s="16" t="str">
        <f t="shared" si="6"/>
        <v/>
      </c>
      <c r="G110" s="17" t="str">
        <f>IF(E110="","",INDEX(CRONOGRAMA!$H$7:$H$366,E110))</f>
        <v/>
      </c>
      <c r="I110" s="18" t="str">
        <f t="shared" si="7"/>
        <v/>
      </c>
      <c r="J110" s="17" t="str">
        <f t="shared" si="8"/>
        <v/>
      </c>
    </row>
    <row r="111" spans="5:10" x14ac:dyDescent="0.25">
      <c r="E111" s="16" t="str">
        <f>IF(96&lt;=$F$10,$F$9+96-1,"")</f>
        <v/>
      </c>
      <c r="F111" s="16" t="str">
        <f t="shared" si="6"/>
        <v/>
      </c>
      <c r="G111" s="17" t="str">
        <f>IF(E111="","",INDEX(CRONOGRAMA!$H$7:$H$366,E111))</f>
        <v/>
      </c>
      <c r="I111" s="18" t="str">
        <f t="shared" si="7"/>
        <v/>
      </c>
      <c r="J111" s="17" t="str">
        <f t="shared" si="8"/>
        <v/>
      </c>
    </row>
    <row r="112" spans="5:10" x14ac:dyDescent="0.25">
      <c r="E112" s="16" t="str">
        <f>IF(97&lt;=$F$10,$F$9+97-1,"")</f>
        <v/>
      </c>
      <c r="F112" s="16" t="str">
        <f t="shared" ref="F112:F143" si="9">IF(E112="","",E112-$C$7)</f>
        <v/>
      </c>
      <c r="G112" s="17" t="str">
        <f>IF(E112="","",INDEX(CRONOGRAMA!$H$7:$H$366,E112))</f>
        <v/>
      </c>
      <c r="I112" s="18" t="str">
        <f t="shared" ref="I112:I135" si="10">IF(E112="","",(1+$F$7)^F112)</f>
        <v/>
      </c>
      <c r="J112" s="17" t="str">
        <f t="shared" ref="J112:J143" si="11">IF(E112="","",G112/I112)</f>
        <v/>
      </c>
    </row>
    <row r="113" spans="5:10" x14ac:dyDescent="0.25">
      <c r="E113" s="16" t="str">
        <f>IF(98&lt;=$F$10,$F$9+98-1,"")</f>
        <v/>
      </c>
      <c r="F113" s="16" t="str">
        <f t="shared" si="9"/>
        <v/>
      </c>
      <c r="G113" s="17" t="str">
        <f>IF(E113="","",INDEX(CRONOGRAMA!$H$7:$H$366,E113))</f>
        <v/>
      </c>
      <c r="I113" s="18" t="str">
        <f t="shared" si="10"/>
        <v/>
      </c>
      <c r="J113" s="17" t="str">
        <f t="shared" si="11"/>
        <v/>
      </c>
    </row>
    <row r="114" spans="5:10" x14ac:dyDescent="0.25">
      <c r="E114" s="16" t="str">
        <f>IF(99&lt;=$F$10,$F$9+99-1,"")</f>
        <v/>
      </c>
      <c r="F114" s="16" t="str">
        <f t="shared" si="9"/>
        <v/>
      </c>
      <c r="G114" s="17" t="str">
        <f>IF(E114="","",INDEX(CRONOGRAMA!$H$7:$H$366,E114))</f>
        <v/>
      </c>
      <c r="I114" s="18" t="str">
        <f t="shared" si="10"/>
        <v/>
      </c>
      <c r="J114" s="17" t="str">
        <f t="shared" si="11"/>
        <v/>
      </c>
    </row>
    <row r="115" spans="5:10" x14ac:dyDescent="0.25">
      <c r="E115" s="16" t="str">
        <f>IF(100&lt;=$F$10,$F$9+100-1,"")</f>
        <v/>
      </c>
      <c r="F115" s="16" t="str">
        <f t="shared" si="9"/>
        <v/>
      </c>
      <c r="G115" s="17" t="str">
        <f>IF(E115="","",INDEX(CRONOGRAMA!$H$7:$H$366,E115))</f>
        <v/>
      </c>
      <c r="I115" s="18" t="str">
        <f t="shared" si="10"/>
        <v/>
      </c>
      <c r="J115" s="17" t="str">
        <f t="shared" si="11"/>
        <v/>
      </c>
    </row>
    <row r="116" spans="5:10" x14ac:dyDescent="0.25">
      <c r="E116" s="16" t="str">
        <f>IF(101&lt;=$F$10,$F$9+101-1,"")</f>
        <v/>
      </c>
      <c r="F116" s="16" t="str">
        <f t="shared" si="9"/>
        <v/>
      </c>
      <c r="G116" s="17" t="str">
        <f>IF(E116="","",INDEX(CRONOGRAMA!$H$7:$H$366,E116))</f>
        <v/>
      </c>
      <c r="I116" s="18" t="str">
        <f t="shared" si="10"/>
        <v/>
      </c>
      <c r="J116" s="17" t="str">
        <f t="shared" si="11"/>
        <v/>
      </c>
    </row>
    <row r="117" spans="5:10" x14ac:dyDescent="0.25">
      <c r="E117" s="16" t="str">
        <f>IF(102&lt;=$F$10,$F$9+102-1,"")</f>
        <v/>
      </c>
      <c r="F117" s="16" t="str">
        <f t="shared" si="9"/>
        <v/>
      </c>
      <c r="G117" s="17" t="str">
        <f>IF(E117="","",INDEX(CRONOGRAMA!$H$7:$H$366,E117))</f>
        <v/>
      </c>
      <c r="I117" s="18" t="str">
        <f t="shared" si="10"/>
        <v/>
      </c>
      <c r="J117" s="17" t="str">
        <f t="shared" si="11"/>
        <v/>
      </c>
    </row>
    <row r="118" spans="5:10" x14ac:dyDescent="0.25">
      <c r="E118" s="16" t="str">
        <f>IF(103&lt;=$F$10,$F$9+103-1,"")</f>
        <v/>
      </c>
      <c r="F118" s="16" t="str">
        <f t="shared" si="9"/>
        <v/>
      </c>
      <c r="G118" s="17" t="str">
        <f>IF(E118="","",INDEX(CRONOGRAMA!$H$7:$H$366,E118))</f>
        <v/>
      </c>
      <c r="I118" s="18" t="str">
        <f t="shared" si="10"/>
        <v/>
      </c>
      <c r="J118" s="17" t="str">
        <f t="shared" si="11"/>
        <v/>
      </c>
    </row>
    <row r="119" spans="5:10" x14ac:dyDescent="0.25">
      <c r="E119" s="16" t="str">
        <f>IF(104&lt;=$F$10,$F$9+104-1,"")</f>
        <v/>
      </c>
      <c r="F119" s="16" t="str">
        <f t="shared" si="9"/>
        <v/>
      </c>
      <c r="G119" s="17" t="str">
        <f>IF(E119="","",INDEX(CRONOGRAMA!$H$7:$H$366,E119))</f>
        <v/>
      </c>
      <c r="I119" s="18" t="str">
        <f t="shared" si="10"/>
        <v/>
      </c>
      <c r="J119" s="17" t="str">
        <f t="shared" si="11"/>
        <v/>
      </c>
    </row>
    <row r="120" spans="5:10" x14ac:dyDescent="0.25">
      <c r="E120" s="16" t="str">
        <f>IF(105&lt;=$F$10,$F$9+105-1,"")</f>
        <v/>
      </c>
      <c r="F120" s="16" t="str">
        <f t="shared" si="9"/>
        <v/>
      </c>
      <c r="G120" s="17" t="str">
        <f>IF(E120="","",INDEX(CRONOGRAMA!$H$7:$H$366,E120))</f>
        <v/>
      </c>
      <c r="I120" s="18" t="str">
        <f t="shared" si="10"/>
        <v/>
      </c>
      <c r="J120" s="17" t="str">
        <f t="shared" si="11"/>
        <v/>
      </c>
    </row>
    <row r="121" spans="5:10" x14ac:dyDescent="0.25">
      <c r="E121" s="16" t="str">
        <f>IF(106&lt;=$F$10,$F$9+106-1,"")</f>
        <v/>
      </c>
      <c r="F121" s="16" t="str">
        <f t="shared" si="9"/>
        <v/>
      </c>
      <c r="G121" s="17" t="str">
        <f>IF(E121="","",INDEX(CRONOGRAMA!$H$7:$H$366,E121))</f>
        <v/>
      </c>
      <c r="I121" s="18" t="str">
        <f t="shared" si="10"/>
        <v/>
      </c>
      <c r="J121" s="17" t="str">
        <f t="shared" si="11"/>
        <v/>
      </c>
    </row>
    <row r="122" spans="5:10" x14ac:dyDescent="0.25">
      <c r="E122" s="16" t="str">
        <f>IF(107&lt;=$F$10,$F$9+107-1,"")</f>
        <v/>
      </c>
      <c r="F122" s="16" t="str">
        <f t="shared" si="9"/>
        <v/>
      </c>
      <c r="G122" s="17" t="str">
        <f>IF(E122="","",INDEX(CRONOGRAMA!$H$7:$H$366,E122))</f>
        <v/>
      </c>
      <c r="I122" s="18" t="str">
        <f t="shared" si="10"/>
        <v/>
      </c>
      <c r="J122" s="17" t="str">
        <f t="shared" si="11"/>
        <v/>
      </c>
    </row>
    <row r="123" spans="5:10" x14ac:dyDescent="0.25">
      <c r="E123" s="16" t="str">
        <f>IF(108&lt;=$F$10,$F$9+108-1,"")</f>
        <v/>
      </c>
      <c r="F123" s="16" t="str">
        <f t="shared" si="9"/>
        <v/>
      </c>
      <c r="G123" s="17" t="str">
        <f>IF(E123="","",INDEX(CRONOGRAMA!$H$7:$H$366,E123))</f>
        <v/>
      </c>
      <c r="I123" s="18" t="str">
        <f t="shared" si="10"/>
        <v/>
      </c>
      <c r="J123" s="17" t="str">
        <f t="shared" si="11"/>
        <v/>
      </c>
    </row>
    <row r="124" spans="5:10" x14ac:dyDescent="0.25">
      <c r="E124" s="16" t="str">
        <f>IF(109&lt;=$F$10,$F$9+109-1,"")</f>
        <v/>
      </c>
      <c r="F124" s="16" t="str">
        <f t="shared" si="9"/>
        <v/>
      </c>
      <c r="G124" s="17" t="str">
        <f>IF(E124="","",INDEX(CRONOGRAMA!$H$7:$H$366,E124))</f>
        <v/>
      </c>
      <c r="I124" s="18" t="str">
        <f t="shared" si="10"/>
        <v/>
      </c>
      <c r="J124" s="17" t="str">
        <f t="shared" si="11"/>
        <v/>
      </c>
    </row>
    <row r="125" spans="5:10" x14ac:dyDescent="0.25">
      <c r="E125" s="16" t="str">
        <f>IF(110&lt;=$F$10,$F$9+110-1,"")</f>
        <v/>
      </c>
      <c r="F125" s="16" t="str">
        <f t="shared" si="9"/>
        <v/>
      </c>
      <c r="G125" s="17" t="str">
        <f>IF(E125="","",INDEX(CRONOGRAMA!$H$7:$H$366,E125))</f>
        <v/>
      </c>
      <c r="I125" s="18" t="str">
        <f t="shared" si="10"/>
        <v/>
      </c>
      <c r="J125" s="17" t="str">
        <f t="shared" si="11"/>
        <v/>
      </c>
    </row>
    <row r="126" spans="5:10" x14ac:dyDescent="0.25">
      <c r="E126" s="16" t="str">
        <f>IF(111&lt;=$F$10,$F$9+111-1,"")</f>
        <v/>
      </c>
      <c r="F126" s="16" t="str">
        <f t="shared" si="9"/>
        <v/>
      </c>
      <c r="G126" s="17" t="str">
        <f>IF(E126="","",INDEX(CRONOGRAMA!$H$7:$H$366,E126))</f>
        <v/>
      </c>
      <c r="I126" s="18" t="str">
        <f t="shared" si="10"/>
        <v/>
      </c>
      <c r="J126" s="17" t="str">
        <f t="shared" si="11"/>
        <v/>
      </c>
    </row>
    <row r="127" spans="5:10" x14ac:dyDescent="0.25">
      <c r="E127" s="16" t="str">
        <f>IF(112&lt;=$F$10,$F$9+112-1,"")</f>
        <v/>
      </c>
      <c r="F127" s="16" t="str">
        <f t="shared" si="9"/>
        <v/>
      </c>
      <c r="G127" s="17" t="str">
        <f>IF(E127="","",INDEX(CRONOGRAMA!$H$7:$H$366,E127))</f>
        <v/>
      </c>
      <c r="I127" s="18" t="str">
        <f t="shared" si="10"/>
        <v/>
      </c>
      <c r="J127" s="17" t="str">
        <f t="shared" si="11"/>
        <v/>
      </c>
    </row>
    <row r="128" spans="5:10" x14ac:dyDescent="0.25">
      <c r="E128" s="16" t="str">
        <f>IF(113&lt;=$F$10,$F$9+113-1,"")</f>
        <v/>
      </c>
      <c r="F128" s="16" t="str">
        <f t="shared" si="9"/>
        <v/>
      </c>
      <c r="G128" s="17" t="str">
        <f>IF(E128="","",INDEX(CRONOGRAMA!$H$7:$H$366,E128))</f>
        <v/>
      </c>
      <c r="I128" s="18" t="str">
        <f t="shared" si="10"/>
        <v/>
      </c>
      <c r="J128" s="17" t="str">
        <f t="shared" si="11"/>
        <v/>
      </c>
    </row>
    <row r="129" spans="5:10" x14ac:dyDescent="0.25">
      <c r="E129" s="16" t="str">
        <f>IF(114&lt;=$F$10,$F$9+114-1,"")</f>
        <v/>
      </c>
      <c r="F129" s="16" t="str">
        <f t="shared" si="9"/>
        <v/>
      </c>
      <c r="G129" s="17" t="str">
        <f>IF(E129="","",INDEX(CRONOGRAMA!$H$7:$H$366,E129))</f>
        <v/>
      </c>
      <c r="I129" s="18" t="str">
        <f t="shared" si="10"/>
        <v/>
      </c>
      <c r="J129" s="17" t="str">
        <f t="shared" si="11"/>
        <v/>
      </c>
    </row>
    <row r="130" spans="5:10" x14ac:dyDescent="0.25">
      <c r="E130" s="16" t="str">
        <f>IF(115&lt;=$F$10,$F$9+115-1,"")</f>
        <v/>
      </c>
      <c r="F130" s="16" t="str">
        <f t="shared" si="9"/>
        <v/>
      </c>
      <c r="G130" s="17" t="str">
        <f>IF(E130="","",INDEX(CRONOGRAMA!$H$7:$H$366,E130))</f>
        <v/>
      </c>
      <c r="I130" s="18" t="str">
        <f t="shared" si="10"/>
        <v/>
      </c>
      <c r="J130" s="17" t="str">
        <f t="shared" si="11"/>
        <v/>
      </c>
    </row>
    <row r="131" spans="5:10" x14ac:dyDescent="0.25">
      <c r="E131" s="16" t="str">
        <f>IF(116&lt;=$F$10,$F$9+116-1,"")</f>
        <v/>
      </c>
      <c r="F131" s="16" t="str">
        <f t="shared" si="9"/>
        <v/>
      </c>
      <c r="G131" s="17" t="str">
        <f>IF(E131="","",INDEX(CRONOGRAMA!$H$7:$H$366,E131))</f>
        <v/>
      </c>
      <c r="I131" s="18" t="str">
        <f t="shared" si="10"/>
        <v/>
      </c>
      <c r="J131" s="17" t="str">
        <f t="shared" si="11"/>
        <v/>
      </c>
    </row>
    <row r="132" spans="5:10" x14ac:dyDescent="0.25">
      <c r="E132" s="16" t="str">
        <f>IF(117&lt;=$F$10,$F$9+117-1,"")</f>
        <v/>
      </c>
      <c r="F132" s="16" t="str">
        <f t="shared" si="9"/>
        <v/>
      </c>
      <c r="G132" s="17" t="str">
        <f>IF(E132="","",INDEX(CRONOGRAMA!$H$7:$H$366,E132))</f>
        <v/>
      </c>
      <c r="I132" s="18" t="str">
        <f t="shared" si="10"/>
        <v/>
      </c>
      <c r="J132" s="17" t="str">
        <f t="shared" si="11"/>
        <v/>
      </c>
    </row>
    <row r="133" spans="5:10" x14ac:dyDescent="0.25">
      <c r="E133" s="16" t="str">
        <f>IF(118&lt;=$F$10,$F$9+118-1,"")</f>
        <v/>
      </c>
      <c r="F133" s="16" t="str">
        <f t="shared" si="9"/>
        <v/>
      </c>
      <c r="G133" s="17" t="str">
        <f>IF(E133="","",INDEX(CRONOGRAMA!$H$7:$H$366,E133))</f>
        <v/>
      </c>
      <c r="I133" s="18" t="str">
        <f t="shared" si="10"/>
        <v/>
      </c>
      <c r="J133" s="17" t="str">
        <f t="shared" si="11"/>
        <v/>
      </c>
    </row>
    <row r="134" spans="5:10" x14ac:dyDescent="0.25">
      <c r="E134" s="16" t="str">
        <f>IF(119&lt;=$F$10,$F$9+119-1,"")</f>
        <v/>
      </c>
      <c r="F134" s="16" t="str">
        <f t="shared" si="9"/>
        <v/>
      </c>
      <c r="G134" s="17" t="str">
        <f>IF(E134="","",INDEX(CRONOGRAMA!$H$7:$H$366,E134))</f>
        <v/>
      </c>
      <c r="I134" s="18" t="str">
        <f t="shared" si="10"/>
        <v/>
      </c>
      <c r="J134" s="17" t="str">
        <f t="shared" si="11"/>
        <v/>
      </c>
    </row>
    <row r="135" spans="5:10" x14ac:dyDescent="0.25">
      <c r="E135" s="16" t="str">
        <f>IF(120&lt;=$F$10,$F$9+120-1,"")</f>
        <v/>
      </c>
      <c r="F135" s="16" t="str">
        <f t="shared" si="9"/>
        <v/>
      </c>
      <c r="G135" s="17" t="str">
        <f>IF(E135="","",INDEX(CRONOGRAMA!$H$7:$H$366,E135))</f>
        <v/>
      </c>
      <c r="I135" s="18" t="str">
        <f t="shared" si="10"/>
        <v/>
      </c>
      <c r="J135" s="17" t="str">
        <f t="shared" si="11"/>
        <v/>
      </c>
    </row>
  </sheetData>
  <mergeCells count="4">
    <mergeCell ref="B16:C18"/>
    <mergeCell ref="A1:K2"/>
    <mergeCell ref="A3:K3"/>
    <mergeCell ref="I4:K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6"/>
  <sheetViews>
    <sheetView showGridLines="0" topLeftCell="B1" workbookViewId="0">
      <selection activeCell="K9" sqref="K9"/>
    </sheetView>
  </sheetViews>
  <sheetFormatPr defaultRowHeight="15" x14ac:dyDescent="0.25"/>
  <cols>
    <col min="1" max="1" width="3" hidden="1" customWidth="1"/>
    <col min="2" max="2" width="40" customWidth="1"/>
    <col min="3" max="3" width="64" customWidth="1"/>
    <col min="4" max="4" width="3" customWidth="1"/>
  </cols>
  <sheetData>
    <row r="1" spans="1:11" ht="27.95" customHeight="1" x14ac:dyDescent="0.25">
      <c r="A1" s="32" t="s">
        <v>84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26.25" customHeight="1" x14ac:dyDescent="0.25">
      <c r="A3" s="26" t="s">
        <v>85</v>
      </c>
      <c r="B3" s="27"/>
      <c r="C3" s="27"/>
      <c r="D3" s="27"/>
      <c r="E3" s="27"/>
      <c r="F3" s="27"/>
      <c r="G3" s="27"/>
      <c r="H3" s="27"/>
      <c r="I3" s="27"/>
      <c r="J3" s="27"/>
      <c r="K3" s="19"/>
    </row>
    <row r="4" spans="1:11" ht="15" customHeight="1" x14ac:dyDescent="0.25">
      <c r="I4" s="93" t="str">
        <f>HYPERLINK("#'DADOS'!A1","← Voltar para DADOS")</f>
        <v>← Voltar para DADOS</v>
      </c>
      <c r="J4" s="94"/>
      <c r="K4" s="94"/>
    </row>
    <row r="6" spans="1:11" ht="39.75" customHeight="1" x14ac:dyDescent="0.25">
      <c r="B6" s="4" t="s">
        <v>24</v>
      </c>
      <c r="C6" s="1" t="s">
        <v>86</v>
      </c>
    </row>
    <row r="8" spans="1:11" ht="35.25" customHeight="1" x14ac:dyDescent="0.25">
      <c r="B8" s="4" t="s">
        <v>87</v>
      </c>
      <c r="C8" s="1" t="s">
        <v>88</v>
      </c>
    </row>
    <row r="10" spans="1:11" ht="33.75" customHeight="1" x14ac:dyDescent="0.25">
      <c r="B10" s="4" t="s">
        <v>89</v>
      </c>
      <c r="C10" s="1" t="s">
        <v>90</v>
      </c>
    </row>
    <row r="12" spans="1:11" ht="36" customHeight="1" x14ac:dyDescent="0.25">
      <c r="B12" s="4" t="s">
        <v>91</v>
      </c>
      <c r="C12" s="1" t="s">
        <v>92</v>
      </c>
    </row>
    <row r="14" spans="1:11" ht="42.75" customHeight="1" x14ac:dyDescent="0.25">
      <c r="B14" s="4" t="s">
        <v>93</v>
      </c>
      <c r="C14" s="1" t="s">
        <v>94</v>
      </c>
    </row>
    <row r="16" spans="1:11" ht="41.25" customHeight="1" x14ac:dyDescent="0.25">
      <c r="B16" s="4" t="s">
        <v>95</v>
      </c>
      <c r="C16" s="1" t="s">
        <v>96</v>
      </c>
    </row>
  </sheetData>
  <mergeCells count="3">
    <mergeCell ref="A1:K2"/>
    <mergeCell ref="A3:K3"/>
    <mergeCell ref="I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INICIO</vt:lpstr>
      <vt:lpstr>DADOS</vt:lpstr>
      <vt:lpstr>SAIDA</vt:lpstr>
      <vt:lpstr>CRONOGRAMA</vt:lpstr>
      <vt:lpstr>QUITACAO</vt:lpstr>
      <vt:lpstr>AJUDA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Gerência Financeira</dc:creator>
  <cp:lastModifiedBy>Gerência Financeira</cp:lastModifiedBy>
  <dcterms:created xsi:type="dcterms:W3CDTF">2026-02-27T16:16:53Z</dcterms:created>
  <dcterms:modified xsi:type="dcterms:W3CDTF">2026-02-27T16:17:55Z</dcterms:modified>
</cp:coreProperties>
</file>